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840" activeTab="0"/>
  </bookViews>
  <sheets>
    <sheet name="Performance Décollage DR 400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<sst xmlns="http://schemas.openxmlformats.org/spreadsheetml/2006/main" count="123" uniqueCount="59">
  <si>
    <t>PERFORMANCE DECOLLAGE ET ATTERISSAGE AUX CONDITIONS DU JOUR    REMPLIR LES CASES GRISES AVEC LA CARTE VAC DU TERRAIN</t>
  </si>
  <si>
    <t>Manuel de vol     Edition 13  Sept. 80 DR 400/180     Performances de décollage par vent nul, volets 1er cran</t>
  </si>
  <si>
    <t>altitude</t>
  </si>
  <si>
    <t>F-BVDJ</t>
  </si>
  <si>
    <t>Nom du terrain:</t>
  </si>
  <si>
    <t>LFDW</t>
  </si>
  <si>
    <t>Piste Béton</t>
  </si>
  <si>
    <t>Piste Herbe</t>
  </si>
  <si>
    <t>Béton</t>
  </si>
  <si>
    <t>Herbe</t>
  </si>
  <si>
    <t>Std</t>
  </si>
  <si>
    <t>N° Piste:</t>
  </si>
  <si>
    <t>05</t>
  </si>
  <si>
    <t>Type de piste</t>
  </si>
  <si>
    <t>T° C :</t>
  </si>
  <si>
    <t>Vent kt :</t>
  </si>
  <si>
    <t>Std=</t>
  </si>
  <si>
    <t>Pression du jour Hpa</t>
  </si>
  <si>
    <t>Altitude Terrain en ft</t>
  </si>
  <si>
    <t>TODA</t>
  </si>
  <si>
    <t>LDA</t>
  </si>
  <si>
    <t>Calcul de l'altitude pression du terrain avec 1 hpa = 28 ft</t>
  </si>
  <si>
    <t>= Altitude terrain + (1013 - Pression du jour) X 28</t>
  </si>
  <si>
    <t>PERFORMANCES DU JOUR</t>
  </si>
  <si>
    <t>DEC</t>
  </si>
  <si>
    <t>DEC +20%</t>
  </si>
  <si>
    <t>ATT</t>
  </si>
  <si>
    <t>ATT + 20%</t>
  </si>
  <si>
    <t>DECollage ou ATTerissage 15m</t>
  </si>
  <si>
    <r>
      <t>Vous devez comparer la distance de décollage à TODA (</t>
    </r>
    <r>
      <rPr>
        <i/>
        <sz val="10"/>
        <rFont val="Arial"/>
        <family val="2"/>
      </rPr>
      <t>Take-off distance available</t>
    </r>
    <r>
      <rPr>
        <sz val="10"/>
        <rFont val="Arial"/>
        <family val="2"/>
      </rPr>
      <t>) et la distance d’atterrissage à LDA (</t>
    </r>
    <r>
      <rPr>
        <i/>
        <sz val="10"/>
        <rFont val="Arial"/>
        <family val="2"/>
      </rPr>
      <t>Landing distance available</t>
    </r>
    <r>
      <rPr>
        <sz val="10"/>
        <rFont val="Arial"/>
        <family val="2"/>
      </rPr>
      <t>) :</t>
    </r>
  </si>
  <si>
    <r>
      <rPr>
        <sz val="10"/>
        <rFont val="Arial"/>
        <family val="2"/>
      </rPr>
      <t>Dans chaque case: - Distance totale en m depuis l’arrêt pour passer 15 m à V= 1,3 Vs1
-(Longueur de roulement pour atteindre 1,1 Vs1)</t>
    </r>
  </si>
  <si>
    <t>Influence du vent :  pour 10 kt multiplier par 0,81
  pour 20 kt multiplier par 0,67
  pour 30 kt multiplier par 0,56</t>
  </si>
  <si>
    <t xml:space="preserve">Si  TODA &gt;= DEC + 20% </t>
  </si>
  <si>
    <t>Manuel de vol     Edition 13  Sept. 80 DR 400/180     Performances d'atterissage par vent nul, volets 2 ème cran</t>
  </si>
  <si>
    <t xml:space="preserve">Si  LDA &gt;= ATT + 20% </t>
  </si>
  <si>
    <t>Dans chaque case: - Distance totale en m depuis le passage 15 m à V= 1,3 Vso jusqu'à l'arrêt -(Longueur de roulement après impact à Vso)</t>
  </si>
  <si>
    <t>Les calculs ne tiennent pas compte des dénivelés éventuels de la piste.</t>
  </si>
  <si>
    <t xml:space="preserve">Si la TODA et LDA sont supérieures à la distance calculée plus 20% pas de problème pour utiliser cette piste.                                                                                                       Si la TODA et où LDA sont inférieures à la distance calculée Vous ne pouvez pas utiliser cette piste soit pour décoller soit pour atterrir voir même les deux. </t>
  </si>
  <si>
    <t>Les cases calculées se colorent en vert ou en rouge en fonction des résultats,</t>
  </si>
  <si>
    <t xml:space="preserve">Béton </t>
  </si>
  <si>
    <t>Ft</t>
  </si>
  <si>
    <t>Kg</t>
  </si>
  <si>
    <t>Degrés</t>
  </si>
  <si>
    <t>Coef =&gt;</t>
  </si>
  <si>
    <t>Calcul Majoratio ou minoration avec vent</t>
  </si>
  <si>
    <t>Attention masse maxi DEC 1100 kg et masse maxi ATT 1045 kg</t>
  </si>
  <si>
    <t>Masse kg :</t>
  </si>
  <si>
    <t>Températiure</t>
  </si>
  <si>
    <t>Masse 1100 kg</t>
  </si>
  <si>
    <t>Masse 900 kg</t>
  </si>
  <si>
    <t>Température</t>
  </si>
  <si>
    <t>Maasse 1045 kg</t>
  </si>
  <si>
    <t>Masse 845 kg</t>
  </si>
  <si>
    <t>Distance du à la Masse</t>
  </si>
  <si>
    <t>Calcul distance du à la masse de l'avion et à l'altitude pression</t>
  </si>
  <si>
    <t>Calcul de la distance du à la masse de l'avion et à l'altitude pression et la température</t>
  </si>
  <si>
    <t>Masse à vide 597 Kg AVION :</t>
  </si>
  <si>
    <t xml:space="preserve">Explication : Cette feuille est une aide pour calculer la distance de décollage et d'atterrissage en fonction des conditions du jour, les références sont celle du DR 400 F-BVDJ.    Il faut remplir les cases grises à l'aide de la carte OACI du terrain, la température, le vent et la pression du jour. Le calcul de l'altitude pression du terrain et des distances </t>
  </si>
  <si>
    <t xml:space="preserve">de décollage et d'atterrissage sont réalisés automatiquement en faisant référence aux tableaux du Manuel de vol du F-BVDJ. Une majoration de 20% est appliquée pour prendre en compte l'usure et l'état de propreté de l'avion, les erreurs d'estimation de masse, du vent, des températures ect ...... Puis une comparaison est faite.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</si>
</sst>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);\(0\)"/>
    <numFmt numFmtId="165" formatCode="0.000"/>
    <numFmt numFmtId="166" formatCode="\+0;\-0"/>
    <numFmt numFmtId="167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1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 style="medium"/>
      <right style="thin">
        <color rgb="FF000000"/>
      </right>
      <top style="thick">
        <color rgb="FF000000"/>
      </top>
      <bottom/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ck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ck">
        <color rgb="FF000000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ck">
        <color rgb="FF000000"/>
      </bottom>
    </border>
    <border>
      <left/>
      <right style="medium">
        <color rgb="FF000000"/>
      </right>
      <top style="thin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6">
    <xf numFmtId="0" fontId="0" fillId="0" borderId="0" xfId="0" applyFont="1" applyAlignment="1">
      <alignment/>
    </xf>
    <xf numFmtId="0" fontId="42" fillId="0" borderId="0" xfId="49" applyFont="1" applyAlignment="1">
      <alignment horizontal="center" vertical="center"/>
      <protection/>
    </xf>
    <xf numFmtId="0" fontId="42" fillId="0" borderId="0" xfId="49" applyFont="1" applyAlignment="1">
      <alignment horizontal="left" vertical="top"/>
      <protection/>
    </xf>
    <xf numFmtId="1" fontId="42" fillId="0" borderId="0" xfId="49" applyNumberFormat="1" applyFont="1" applyAlignment="1">
      <alignment horizontal="left" vertical="top"/>
      <protection/>
    </xf>
    <xf numFmtId="0" fontId="5" fillId="0" borderId="10" xfId="49" applyFont="1" applyBorder="1" applyAlignment="1">
      <alignment horizontal="center" vertical="center" wrapText="1"/>
      <protection/>
    </xf>
    <xf numFmtId="2" fontId="42" fillId="0" borderId="0" xfId="49" applyNumberFormat="1" applyFont="1" applyAlignment="1">
      <alignment horizontal="left" vertical="top"/>
      <protection/>
    </xf>
    <xf numFmtId="0" fontId="42" fillId="0" borderId="0" xfId="49" applyFont="1" applyAlignment="1">
      <alignment horizontal="right" vertical="center"/>
      <protection/>
    </xf>
    <xf numFmtId="1" fontId="42" fillId="33" borderId="0" xfId="49" applyNumberFormat="1" applyFont="1" applyFill="1" applyAlignment="1" applyProtection="1">
      <alignment horizontal="center" vertical="center"/>
      <protection locked="0"/>
    </xf>
    <xf numFmtId="0" fontId="42" fillId="33" borderId="0" xfId="49" applyFont="1" applyFill="1" applyAlignment="1" applyProtection="1">
      <alignment horizontal="center" vertical="center"/>
      <protection locked="0"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0" fontId="5" fillId="0" borderId="13" xfId="49" applyFont="1" applyBorder="1" applyAlignment="1">
      <alignment horizontal="center" vertical="center" wrapText="1"/>
      <protection/>
    </xf>
    <xf numFmtId="0" fontId="5" fillId="0" borderId="14" xfId="49" applyFont="1" applyBorder="1" applyAlignment="1">
      <alignment horizontal="center" vertical="center" wrapText="1"/>
      <protection/>
    </xf>
    <xf numFmtId="0" fontId="42" fillId="0" borderId="0" xfId="49" applyFont="1" applyAlignment="1">
      <alignment horizontal="right" vertical="top"/>
      <protection/>
    </xf>
    <xf numFmtId="1" fontId="42" fillId="0" borderId="15" xfId="49" applyNumberFormat="1" applyFont="1" applyBorder="1" applyAlignment="1">
      <alignment horizontal="center" vertical="center" shrinkToFit="1"/>
      <protection/>
    </xf>
    <xf numFmtId="0" fontId="5" fillId="0" borderId="16" xfId="49" applyFont="1" applyBorder="1" applyAlignment="1">
      <alignment horizontal="center" vertical="center" wrapText="1"/>
      <protection/>
    </xf>
    <xf numFmtId="1" fontId="42" fillId="0" borderId="17" xfId="49" applyNumberFormat="1" applyFont="1" applyBorder="1" applyAlignment="1">
      <alignment horizontal="center" vertical="center" shrinkToFit="1"/>
      <protection/>
    </xf>
    <xf numFmtId="1" fontId="42" fillId="0" borderId="18" xfId="49" applyNumberFormat="1" applyFont="1" applyBorder="1" applyAlignment="1">
      <alignment horizontal="center" vertical="center" shrinkToFit="1"/>
      <protection/>
    </xf>
    <xf numFmtId="0" fontId="42" fillId="0" borderId="0" xfId="49" applyFont="1" applyAlignment="1">
      <alignment horizontal="left" vertical="center"/>
      <protection/>
    </xf>
    <xf numFmtId="49" fontId="42" fillId="33" borderId="0" xfId="49" applyNumberFormat="1" applyFont="1" applyFill="1" applyAlignment="1" applyProtection="1" quotePrefix="1">
      <alignment horizontal="center" vertical="center"/>
      <protection locked="0"/>
    </xf>
    <xf numFmtId="1" fontId="42" fillId="0" borderId="11" xfId="49" applyNumberFormat="1" applyFont="1" applyBorder="1" applyAlignment="1">
      <alignment horizontal="center" vertical="center" shrinkToFit="1"/>
      <protection/>
    </xf>
    <xf numFmtId="0" fontId="5" fillId="0" borderId="19" xfId="49" applyFont="1" applyBorder="1" applyAlignment="1">
      <alignment horizontal="center" vertical="center" wrapText="1"/>
      <protection/>
    </xf>
    <xf numFmtId="1" fontId="42" fillId="0" borderId="20" xfId="49" applyNumberFormat="1" applyFont="1" applyBorder="1" applyAlignment="1">
      <alignment horizontal="center" vertical="center" shrinkToFit="1"/>
      <protection/>
    </xf>
    <xf numFmtId="1" fontId="42" fillId="0" borderId="21" xfId="49" applyNumberFormat="1" applyFont="1" applyBorder="1" applyAlignment="1">
      <alignment horizontal="center" vertical="center" shrinkToFit="1"/>
      <protection/>
    </xf>
    <xf numFmtId="1" fontId="42" fillId="0" borderId="0" xfId="49" applyNumberFormat="1" applyFont="1" applyAlignment="1">
      <alignment horizontal="center" vertical="center"/>
      <protection/>
    </xf>
    <xf numFmtId="2" fontId="42" fillId="0" borderId="0" xfId="49" applyNumberFormat="1" applyFont="1" applyAlignment="1">
      <alignment horizontal="center" vertical="center"/>
      <protection/>
    </xf>
    <xf numFmtId="165" fontId="42" fillId="0" borderId="0" xfId="49" applyNumberFormat="1" applyFont="1" applyAlignment="1">
      <alignment horizontal="left" vertical="top"/>
      <protection/>
    </xf>
    <xf numFmtId="1" fontId="42" fillId="0" borderId="22" xfId="49" applyNumberFormat="1" applyFont="1" applyBorder="1" applyAlignment="1">
      <alignment horizontal="center" vertical="center" shrinkToFit="1"/>
      <protection/>
    </xf>
    <xf numFmtId="166" fontId="42" fillId="0" borderId="23" xfId="49" applyNumberFormat="1" applyFont="1" applyBorder="1" applyAlignment="1">
      <alignment horizontal="center" vertical="center" shrinkToFit="1"/>
      <protection/>
    </xf>
    <xf numFmtId="1" fontId="42" fillId="0" borderId="24" xfId="49" applyNumberFormat="1" applyFont="1" applyBorder="1" applyAlignment="1">
      <alignment horizontal="center" vertical="center" shrinkToFit="1"/>
      <protection/>
    </xf>
    <xf numFmtId="1" fontId="42" fillId="0" borderId="18" xfId="49" applyNumberFormat="1" applyFont="1" applyBorder="1" applyAlignment="1">
      <alignment horizontal="left" vertical="center" shrinkToFit="1"/>
      <protection/>
    </xf>
    <xf numFmtId="0" fontId="42" fillId="0" borderId="0" xfId="49" applyFont="1" applyAlignment="1">
      <alignment horizontal="center" vertical="center" wrapText="1"/>
      <protection/>
    </xf>
    <xf numFmtId="1" fontId="42" fillId="0" borderId="21" xfId="49" applyNumberFormat="1" applyFont="1" applyBorder="1" applyAlignment="1">
      <alignment horizontal="left" vertical="center" shrinkToFit="1"/>
      <protection/>
    </xf>
    <xf numFmtId="0" fontId="42" fillId="0" borderId="0" xfId="49" applyFont="1" applyAlignment="1">
      <alignment horizontal="right"/>
      <protection/>
    </xf>
    <xf numFmtId="0" fontId="42" fillId="0" borderId="0" xfId="49" applyFont="1" applyAlignment="1" quotePrefix="1">
      <alignment horizontal="left" vertical="center"/>
      <protection/>
    </xf>
    <xf numFmtId="1" fontId="42" fillId="0" borderId="24" xfId="49" applyNumberFormat="1" applyFont="1" applyBorder="1" applyAlignment="1">
      <alignment horizontal="left" vertical="center" shrinkToFit="1"/>
      <protection/>
    </xf>
    <xf numFmtId="1" fontId="42" fillId="0" borderId="22" xfId="49" applyNumberFormat="1" applyFont="1" applyBorder="1" applyAlignment="1">
      <alignment vertical="center" shrinkToFit="1"/>
      <protection/>
    </xf>
    <xf numFmtId="0" fontId="5" fillId="0" borderId="0" xfId="49" applyFont="1" applyAlignment="1">
      <alignment horizontal="left" vertical="center"/>
      <protection/>
    </xf>
    <xf numFmtId="0" fontId="42" fillId="0" borderId="0" xfId="49" applyFont="1" applyAlignment="1">
      <alignment vertical="center"/>
      <protection/>
    </xf>
    <xf numFmtId="0" fontId="42" fillId="0" borderId="0" xfId="49" applyFont="1" applyAlignment="1">
      <alignment horizontal="left" vertical="center" wrapText="1" indent="5"/>
      <protection/>
    </xf>
    <xf numFmtId="0" fontId="5" fillId="0" borderId="25" xfId="49" applyFont="1" applyBorder="1" applyAlignment="1">
      <alignment horizontal="center" vertical="center" wrapText="1"/>
      <protection/>
    </xf>
    <xf numFmtId="1" fontId="42" fillId="0" borderId="26" xfId="49" applyNumberFormat="1" applyFont="1" applyBorder="1" applyAlignment="1">
      <alignment horizontal="center" vertical="center" shrinkToFit="1"/>
      <protection/>
    </xf>
    <xf numFmtId="0" fontId="5" fillId="0" borderId="27" xfId="49" applyFont="1" applyBorder="1" applyAlignment="1">
      <alignment horizontal="center" vertical="center" wrapText="1"/>
      <protection/>
    </xf>
    <xf numFmtId="1" fontId="42" fillId="0" borderId="28" xfId="49" applyNumberFormat="1" applyFont="1" applyBorder="1" applyAlignment="1">
      <alignment horizontal="center" vertical="center" shrinkToFit="1"/>
      <protection/>
    </xf>
    <xf numFmtId="1" fontId="42" fillId="0" borderId="29" xfId="49" applyNumberFormat="1" applyFont="1" applyBorder="1" applyAlignment="1">
      <alignment horizontal="center" vertical="center" shrinkToFit="1"/>
      <protection/>
    </xf>
    <xf numFmtId="166" fontId="42" fillId="0" borderId="30" xfId="49" applyNumberFormat="1" applyFont="1" applyBorder="1" applyAlignment="1">
      <alignment horizontal="center" vertical="center" shrinkToFit="1"/>
      <protection/>
    </xf>
    <xf numFmtId="0" fontId="5" fillId="0" borderId="0" xfId="49" applyFont="1" applyAlignment="1">
      <alignment horizontal="center" vertical="center"/>
      <protection/>
    </xf>
    <xf numFmtId="0" fontId="5" fillId="0" borderId="31" xfId="49" applyFont="1" applyBorder="1" applyAlignment="1">
      <alignment horizontal="center" vertical="center" wrapText="1"/>
      <protection/>
    </xf>
    <xf numFmtId="1" fontId="42" fillId="0" borderId="32" xfId="49" applyNumberFormat="1" applyFont="1" applyBorder="1" applyAlignment="1">
      <alignment horizontal="center" vertical="center" shrinkToFit="1"/>
      <protection/>
    </xf>
    <xf numFmtId="0" fontId="5" fillId="0" borderId="0" xfId="49" applyFont="1" applyAlignment="1">
      <alignment vertical="center"/>
      <protection/>
    </xf>
    <xf numFmtId="0" fontId="5" fillId="0" borderId="0" xfId="49" applyFont="1" applyAlignment="1">
      <alignment horizontal="left" vertical="top" wrapText="1" indent="1"/>
      <protection/>
    </xf>
    <xf numFmtId="0" fontId="42" fillId="0" borderId="0" xfId="49" applyFont="1" applyAlignment="1">
      <alignment horizontal="left" vertical="top" wrapText="1" indent="1"/>
      <protection/>
    </xf>
    <xf numFmtId="0" fontId="42" fillId="0" borderId="33" xfId="49" applyFont="1" applyBorder="1" applyAlignment="1">
      <alignment horizontal="right" vertical="center"/>
      <protection/>
    </xf>
    <xf numFmtId="1" fontId="42" fillId="0" borderId="34" xfId="49" applyNumberFormat="1" applyFont="1" applyBorder="1" applyAlignment="1">
      <alignment horizontal="center" vertical="center"/>
      <protection/>
    </xf>
    <xf numFmtId="0" fontId="4" fillId="0" borderId="34" xfId="49" applyFont="1" applyBorder="1" applyAlignment="1">
      <alignment horizontal="left" vertical="center"/>
      <protection/>
    </xf>
    <xf numFmtId="0" fontId="42" fillId="0" borderId="35" xfId="49" applyFont="1" applyBorder="1" applyAlignment="1">
      <alignment horizontal="left" vertical="center"/>
      <protection/>
    </xf>
    <xf numFmtId="0" fontId="42" fillId="0" borderId="35" xfId="49" applyFont="1" applyBorder="1" applyAlignment="1">
      <alignment horizontal="left" vertical="center" wrapText="1" indent="1"/>
      <protection/>
    </xf>
    <xf numFmtId="0" fontId="42" fillId="0" borderId="36" xfId="49" applyFont="1" applyBorder="1" applyAlignment="1">
      <alignment horizontal="left" vertical="center" wrapText="1" indent="1"/>
      <protection/>
    </xf>
    <xf numFmtId="1" fontId="42" fillId="0" borderId="37" xfId="49" applyNumberFormat="1" applyFont="1" applyBorder="1" applyAlignment="1">
      <alignment horizontal="center" vertical="center"/>
      <protection/>
    </xf>
    <xf numFmtId="0" fontId="4" fillId="0" borderId="38" xfId="49" applyFont="1" applyBorder="1" applyAlignment="1">
      <alignment horizontal="left" vertical="center"/>
      <protection/>
    </xf>
    <xf numFmtId="0" fontId="42" fillId="0" borderId="35" xfId="49" applyFont="1" applyBorder="1" applyAlignment="1">
      <alignment horizontal="center" vertical="center"/>
      <protection/>
    </xf>
    <xf numFmtId="0" fontId="42" fillId="0" borderId="39" xfId="49" applyFont="1" applyBorder="1" applyAlignment="1">
      <alignment horizontal="left" vertical="top"/>
      <protection/>
    </xf>
    <xf numFmtId="1" fontId="42" fillId="13" borderId="39" xfId="49" applyNumberFormat="1" applyFont="1" applyFill="1" applyBorder="1" applyAlignment="1">
      <alignment horizontal="center" vertical="center"/>
      <protection/>
    </xf>
    <xf numFmtId="1" fontId="42" fillId="33" borderId="39" xfId="49" applyNumberFormat="1" applyFont="1" applyFill="1" applyBorder="1" applyAlignment="1">
      <alignment horizontal="center" vertical="center"/>
      <protection/>
    </xf>
    <xf numFmtId="0" fontId="42" fillId="13" borderId="0" xfId="49" applyFont="1" applyFill="1" applyAlignment="1">
      <alignment horizontal="center" vertical="center"/>
      <protection/>
    </xf>
    <xf numFmtId="1" fontId="43" fillId="34" borderId="40" xfId="0" applyNumberFormat="1" applyFont="1" applyFill="1" applyBorder="1" applyAlignment="1">
      <alignment horizontal="center" vertical="center" shrinkToFit="1"/>
    </xf>
    <xf numFmtId="0" fontId="5" fillId="33" borderId="41" xfId="49" applyFont="1" applyFill="1" applyBorder="1" applyAlignment="1">
      <alignment horizontal="center" vertical="center"/>
      <protection/>
    </xf>
    <xf numFmtId="1" fontId="43" fillId="0" borderId="39" xfId="0" applyNumberFormat="1" applyFont="1" applyBorder="1" applyAlignment="1">
      <alignment horizontal="center" vertical="center" shrinkToFit="1"/>
    </xf>
    <xf numFmtId="1" fontId="43" fillId="34" borderId="42" xfId="0" applyNumberFormat="1" applyFont="1" applyFill="1" applyBorder="1" applyAlignment="1">
      <alignment horizontal="left" vertical="center" shrinkToFit="1"/>
    </xf>
    <xf numFmtId="1" fontId="43" fillId="34" borderId="43" xfId="0" applyNumberFormat="1" applyFont="1" applyFill="1" applyBorder="1" applyAlignment="1">
      <alignment horizontal="left" vertical="center" shrinkToFit="1"/>
    </xf>
    <xf numFmtId="0" fontId="42" fillId="35" borderId="42" xfId="49" applyFont="1" applyFill="1" applyBorder="1" applyAlignment="1">
      <alignment horizontal="left" vertical="top"/>
      <protection/>
    </xf>
    <xf numFmtId="0" fontId="5" fillId="36" borderId="39" xfId="49" applyFont="1" applyFill="1" applyBorder="1" applyAlignment="1">
      <alignment horizontal="center" vertical="center"/>
      <protection/>
    </xf>
    <xf numFmtId="1" fontId="42" fillId="36" borderId="39" xfId="49" applyNumberFormat="1" applyFont="1" applyFill="1" applyBorder="1" applyAlignment="1">
      <alignment horizontal="center" vertical="center"/>
      <protection/>
    </xf>
    <xf numFmtId="1" fontId="42" fillId="0" borderId="0" xfId="49" applyNumberFormat="1" applyFont="1" applyAlignment="1">
      <alignment horizontal="left" vertical="center"/>
      <protection/>
    </xf>
    <xf numFmtId="0" fontId="42" fillId="13" borderId="39" xfId="49" applyFont="1" applyFill="1" applyBorder="1" applyAlignment="1">
      <alignment horizontal="center" vertical="center"/>
      <protection/>
    </xf>
    <xf numFmtId="1" fontId="42" fillId="33" borderId="16" xfId="49" applyNumberFormat="1" applyFont="1" applyFill="1" applyBorder="1" applyAlignment="1">
      <alignment horizontal="center" vertical="center" shrinkToFit="1"/>
      <protection/>
    </xf>
    <xf numFmtId="164" fontId="42" fillId="33" borderId="17" xfId="49" applyNumberFormat="1" applyFont="1" applyFill="1" applyBorder="1" applyAlignment="1">
      <alignment horizontal="center" vertical="center" shrinkToFit="1"/>
      <protection/>
    </xf>
    <xf numFmtId="1" fontId="42" fillId="33" borderId="19" xfId="49" applyNumberFormat="1" applyFont="1" applyFill="1" applyBorder="1" applyAlignment="1">
      <alignment horizontal="center" vertical="center" shrinkToFit="1"/>
      <protection/>
    </xf>
    <xf numFmtId="164" fontId="42" fillId="33" borderId="20" xfId="49" applyNumberFormat="1" applyFont="1" applyFill="1" applyBorder="1" applyAlignment="1">
      <alignment horizontal="center" vertical="center" shrinkToFit="1"/>
      <protection/>
    </xf>
    <xf numFmtId="1" fontId="42" fillId="33" borderId="14" xfId="49" applyNumberFormat="1" applyFont="1" applyFill="1" applyBorder="1" applyAlignment="1">
      <alignment horizontal="center" vertical="center" shrinkToFit="1"/>
      <protection/>
    </xf>
    <xf numFmtId="164" fontId="42" fillId="33" borderId="23" xfId="49" applyNumberFormat="1" applyFont="1" applyFill="1" applyBorder="1" applyAlignment="1">
      <alignment horizontal="center" vertical="center" shrinkToFit="1"/>
      <protection/>
    </xf>
    <xf numFmtId="1" fontId="42" fillId="13" borderId="16" xfId="49" applyNumberFormat="1" applyFont="1" applyFill="1" applyBorder="1" applyAlignment="1">
      <alignment horizontal="center" vertical="center" shrinkToFit="1"/>
      <protection/>
    </xf>
    <xf numFmtId="164" fontId="42" fillId="13" borderId="17" xfId="49" applyNumberFormat="1" applyFont="1" applyFill="1" applyBorder="1" applyAlignment="1">
      <alignment horizontal="center" vertical="center" shrinkToFit="1"/>
      <protection/>
    </xf>
    <xf numFmtId="1" fontId="42" fillId="13" borderId="19" xfId="49" applyNumberFormat="1" applyFont="1" applyFill="1" applyBorder="1" applyAlignment="1">
      <alignment horizontal="center" vertical="center" shrinkToFit="1"/>
      <protection/>
    </xf>
    <xf numFmtId="164" fontId="42" fillId="13" borderId="20" xfId="49" applyNumberFormat="1" applyFont="1" applyFill="1" applyBorder="1" applyAlignment="1">
      <alignment horizontal="center" vertical="center" shrinkToFit="1"/>
      <protection/>
    </xf>
    <xf numFmtId="1" fontId="42" fillId="13" borderId="14" xfId="49" applyNumberFormat="1" applyFont="1" applyFill="1" applyBorder="1" applyAlignment="1">
      <alignment horizontal="center" vertical="center" shrinkToFit="1"/>
      <protection/>
    </xf>
    <xf numFmtId="164" fontId="42" fillId="13" borderId="23" xfId="49" applyNumberFormat="1" applyFont="1" applyFill="1" applyBorder="1" applyAlignment="1">
      <alignment horizontal="center" vertical="center" shrinkToFit="1"/>
      <protection/>
    </xf>
    <xf numFmtId="164" fontId="42" fillId="13" borderId="44" xfId="49" applyNumberFormat="1" applyFont="1" applyFill="1" applyBorder="1" applyAlignment="1">
      <alignment horizontal="center" vertical="center" shrinkToFit="1"/>
      <protection/>
    </xf>
    <xf numFmtId="164" fontId="42" fillId="13" borderId="45" xfId="49" applyNumberFormat="1" applyFont="1" applyFill="1" applyBorder="1" applyAlignment="1">
      <alignment horizontal="center" vertical="center" shrinkToFit="1"/>
      <protection/>
    </xf>
    <xf numFmtId="164" fontId="42" fillId="13" borderId="46" xfId="49" applyNumberFormat="1" applyFont="1" applyFill="1" applyBorder="1" applyAlignment="1">
      <alignment horizontal="center" vertical="center" shrinkToFit="1"/>
      <protection/>
    </xf>
    <xf numFmtId="164" fontId="42" fillId="13" borderId="47" xfId="49" applyNumberFormat="1" applyFont="1" applyFill="1" applyBorder="1" applyAlignment="1">
      <alignment horizontal="center" vertical="center" shrinkToFit="1"/>
      <protection/>
    </xf>
    <xf numFmtId="164" fontId="42" fillId="13" borderId="48" xfId="49" applyNumberFormat="1" applyFont="1" applyFill="1" applyBorder="1" applyAlignment="1">
      <alignment horizontal="center" vertical="center" shrinkToFit="1"/>
      <protection/>
    </xf>
    <xf numFmtId="164" fontId="42" fillId="13" borderId="49" xfId="49" applyNumberFormat="1" applyFont="1" applyFill="1" applyBorder="1" applyAlignment="1">
      <alignment horizontal="center" vertical="center" shrinkToFit="1"/>
      <protection/>
    </xf>
    <xf numFmtId="1" fontId="42" fillId="33" borderId="27" xfId="49" applyNumberFormat="1" applyFont="1" applyFill="1" applyBorder="1" applyAlignment="1">
      <alignment horizontal="center" vertical="center" shrinkToFit="1"/>
      <protection/>
    </xf>
    <xf numFmtId="164" fontId="42" fillId="33" borderId="28" xfId="49" applyNumberFormat="1" applyFont="1" applyFill="1" applyBorder="1" applyAlignment="1">
      <alignment horizontal="center" vertical="center" shrinkToFit="1"/>
      <protection/>
    </xf>
    <xf numFmtId="1" fontId="42" fillId="33" borderId="25" xfId="49" applyNumberFormat="1" applyFont="1" applyFill="1" applyBorder="1" applyAlignment="1">
      <alignment horizontal="center" vertical="center" shrinkToFit="1"/>
      <protection/>
    </xf>
    <xf numFmtId="164" fontId="42" fillId="33" borderId="30" xfId="49" applyNumberFormat="1" applyFont="1" applyFill="1" applyBorder="1" applyAlignment="1">
      <alignment horizontal="center" vertical="center" shrinkToFit="1"/>
      <protection/>
    </xf>
    <xf numFmtId="1" fontId="42" fillId="33" borderId="31" xfId="49" applyNumberFormat="1" applyFont="1" applyFill="1" applyBorder="1" applyAlignment="1">
      <alignment horizontal="center" vertical="center" shrinkToFit="1"/>
      <protection/>
    </xf>
    <xf numFmtId="164" fontId="42" fillId="33" borderId="32" xfId="49" applyNumberFormat="1" applyFont="1" applyFill="1" applyBorder="1" applyAlignment="1">
      <alignment horizontal="center" vertical="center" shrinkToFit="1"/>
      <protection/>
    </xf>
    <xf numFmtId="1" fontId="42" fillId="13" borderId="27" xfId="49" applyNumberFormat="1" applyFont="1" applyFill="1" applyBorder="1" applyAlignment="1">
      <alignment horizontal="center" vertical="center" shrinkToFit="1"/>
      <protection/>
    </xf>
    <xf numFmtId="164" fontId="42" fillId="13" borderId="28" xfId="49" applyNumberFormat="1" applyFont="1" applyFill="1" applyBorder="1" applyAlignment="1">
      <alignment horizontal="center" vertical="center" shrinkToFit="1"/>
      <protection/>
    </xf>
    <xf numFmtId="1" fontId="42" fillId="13" borderId="25" xfId="49" applyNumberFormat="1" applyFont="1" applyFill="1" applyBorder="1" applyAlignment="1">
      <alignment horizontal="center" vertical="center" shrinkToFit="1"/>
      <protection/>
    </xf>
    <xf numFmtId="164" fontId="42" fillId="13" borderId="30" xfId="49" applyNumberFormat="1" applyFont="1" applyFill="1" applyBorder="1" applyAlignment="1">
      <alignment horizontal="center" vertical="center" shrinkToFit="1"/>
      <protection/>
    </xf>
    <xf numFmtId="1" fontId="42" fillId="13" borderId="31" xfId="49" applyNumberFormat="1" applyFont="1" applyFill="1" applyBorder="1" applyAlignment="1">
      <alignment horizontal="center" vertical="center" shrinkToFit="1"/>
      <protection/>
    </xf>
    <xf numFmtId="164" fontId="42" fillId="13" borderId="32" xfId="49" applyNumberFormat="1" applyFont="1" applyFill="1" applyBorder="1" applyAlignment="1">
      <alignment horizontal="center" vertical="center" shrinkToFit="1"/>
      <protection/>
    </xf>
    <xf numFmtId="164" fontId="42" fillId="13" borderId="50" xfId="49" applyNumberFormat="1" applyFont="1" applyFill="1" applyBorder="1" applyAlignment="1">
      <alignment horizontal="center" vertical="center" shrinkToFit="1"/>
      <protection/>
    </xf>
    <xf numFmtId="164" fontId="42" fillId="13" borderId="51" xfId="49" applyNumberFormat="1" applyFont="1" applyFill="1" applyBorder="1" applyAlignment="1">
      <alignment horizontal="center" vertical="center" shrinkToFit="1"/>
      <protection/>
    </xf>
    <xf numFmtId="164" fontId="42" fillId="13" borderId="52" xfId="49" applyNumberFormat="1" applyFont="1" applyFill="1" applyBorder="1" applyAlignment="1">
      <alignment horizontal="center" vertical="center" shrinkToFit="1"/>
      <protection/>
    </xf>
    <xf numFmtId="0" fontId="42" fillId="33" borderId="0" xfId="49" applyFont="1" applyFill="1" applyAlignment="1">
      <alignment horizontal="left" vertical="top"/>
      <protection/>
    </xf>
    <xf numFmtId="0" fontId="42" fillId="13" borderId="0" xfId="49" applyFont="1" applyFill="1" applyAlignment="1">
      <alignment horizontal="left" vertical="top"/>
      <protection/>
    </xf>
    <xf numFmtId="2" fontId="42" fillId="0" borderId="53" xfId="49" applyNumberFormat="1" applyFont="1" applyBorder="1" applyAlignment="1">
      <alignment horizontal="center" vertical="center"/>
      <protection/>
    </xf>
    <xf numFmtId="0" fontId="42" fillId="0" borderId="53" xfId="49" applyFont="1" applyBorder="1" applyAlignment="1">
      <alignment horizontal="center" vertical="center"/>
      <protection/>
    </xf>
    <xf numFmtId="1" fontId="42" fillId="33" borderId="53" xfId="49" applyNumberFormat="1" applyFont="1" applyFill="1" applyBorder="1" applyAlignment="1">
      <alignment horizontal="center" vertical="center"/>
      <protection/>
    </xf>
    <xf numFmtId="1" fontId="42" fillId="13" borderId="53" xfId="49" applyNumberFormat="1" applyFont="1" applyFill="1" applyBorder="1" applyAlignment="1">
      <alignment horizontal="center" vertical="center"/>
      <protection/>
    </xf>
    <xf numFmtId="166" fontId="42" fillId="0" borderId="20" xfId="49" applyNumberFormat="1" applyFont="1" applyBorder="1" applyAlignment="1">
      <alignment horizontal="center" vertical="center" shrinkToFit="1"/>
      <protection/>
    </xf>
    <xf numFmtId="0" fontId="44" fillId="0" borderId="0" xfId="49" applyFont="1" applyAlignment="1">
      <alignment horizontal="center" vertical="center"/>
      <protection/>
    </xf>
    <xf numFmtId="167" fontId="42" fillId="0" borderId="0" xfId="49" applyNumberFormat="1" applyFont="1" applyAlignment="1">
      <alignment horizontal="left" vertical="top"/>
      <protection/>
    </xf>
    <xf numFmtId="0" fontId="5" fillId="0" borderId="0" xfId="49" applyFont="1" applyAlignment="1">
      <alignment horizontal="center" vertical="center"/>
      <protection/>
    </xf>
    <xf numFmtId="0" fontId="42" fillId="0" borderId="0" xfId="49" applyFont="1" applyAlignment="1">
      <alignment horizontal="left" vertical="center" wrapText="1"/>
      <protection/>
    </xf>
    <xf numFmtId="1" fontId="42" fillId="0" borderId="18" xfId="49" applyNumberFormat="1" applyFont="1" applyBorder="1" applyAlignment="1">
      <alignment horizontal="center" vertical="center" shrinkToFit="1"/>
      <protection/>
    </xf>
    <xf numFmtId="1" fontId="42" fillId="0" borderId="21" xfId="49" applyNumberFormat="1" applyFont="1" applyBorder="1" applyAlignment="1">
      <alignment horizontal="center" vertical="center" shrinkToFit="1"/>
      <protection/>
    </xf>
    <xf numFmtId="1" fontId="42" fillId="0" borderId="24" xfId="49" applyNumberFormat="1" applyFont="1" applyBorder="1" applyAlignment="1">
      <alignment horizontal="center" vertical="center" shrinkToFit="1"/>
      <protection/>
    </xf>
    <xf numFmtId="0" fontId="42" fillId="0" borderId="0" xfId="49" applyFont="1" applyAlignment="1">
      <alignment horizontal="left" vertical="top" wrapText="1"/>
      <protection/>
    </xf>
    <xf numFmtId="1" fontId="42" fillId="0" borderId="11" xfId="49" applyNumberFormat="1" applyFont="1" applyBorder="1" applyAlignment="1">
      <alignment horizontal="center" vertical="center" shrinkToFit="1"/>
      <protection/>
    </xf>
    <xf numFmtId="1" fontId="42" fillId="0" borderId="22" xfId="49" applyNumberFormat="1" applyFont="1" applyBorder="1" applyAlignment="1">
      <alignment horizontal="center" vertical="center" shrinkToFit="1"/>
      <protection/>
    </xf>
    <xf numFmtId="0" fontId="42" fillId="0" borderId="0" xfId="49" applyFont="1" applyAlignment="1">
      <alignment horizontal="left" vertical="top"/>
      <protection/>
    </xf>
    <xf numFmtId="1" fontId="42" fillId="0" borderId="21" xfId="49" applyNumberFormat="1" applyFont="1" applyBorder="1" applyAlignment="1">
      <alignment horizontal="left" vertical="center" shrinkToFit="1"/>
      <protection/>
    </xf>
    <xf numFmtId="1" fontId="42" fillId="0" borderId="24" xfId="49" applyNumberFormat="1" applyFont="1" applyBorder="1" applyAlignment="1">
      <alignment horizontal="left" vertical="center" shrinkToFit="1"/>
      <protection/>
    </xf>
    <xf numFmtId="0" fontId="4" fillId="0" borderId="54" xfId="49" applyFont="1" applyBorder="1" applyAlignment="1">
      <alignment horizontal="center" vertical="center"/>
      <protection/>
    </xf>
    <xf numFmtId="0" fontId="4" fillId="0" borderId="55" xfId="49" applyFont="1" applyBorder="1" applyAlignment="1">
      <alignment horizontal="center" vertical="center"/>
      <protection/>
    </xf>
    <xf numFmtId="0" fontId="4" fillId="0" borderId="44" xfId="49" applyFont="1" applyBorder="1" applyAlignment="1">
      <alignment horizontal="center" vertical="center"/>
      <protection/>
    </xf>
    <xf numFmtId="0" fontId="5" fillId="0" borderId="56" xfId="49" applyFont="1" applyBorder="1" applyAlignment="1">
      <alignment horizontal="center" vertical="center"/>
      <protection/>
    </xf>
    <xf numFmtId="0" fontId="5" fillId="0" borderId="57" xfId="49" applyFont="1" applyBorder="1" applyAlignment="1">
      <alignment horizontal="center" vertical="center"/>
      <protection/>
    </xf>
    <xf numFmtId="0" fontId="5" fillId="0" borderId="19" xfId="49" applyFont="1" applyBorder="1" applyAlignment="1">
      <alignment horizontal="center" vertical="center"/>
      <protection/>
    </xf>
    <xf numFmtId="0" fontId="5" fillId="0" borderId="58" xfId="49" applyFont="1" applyBorder="1" applyAlignment="1">
      <alignment horizontal="center" vertical="center"/>
      <protection/>
    </xf>
    <xf numFmtId="0" fontId="5" fillId="0" borderId="20" xfId="49" applyFont="1" applyBorder="1" applyAlignment="1">
      <alignment horizontal="center" vertical="center"/>
      <protection/>
    </xf>
    <xf numFmtId="0" fontId="5" fillId="0" borderId="45" xfId="49" applyFont="1" applyBorder="1" applyAlignment="1">
      <alignment horizontal="center" vertical="center"/>
      <protection/>
    </xf>
    <xf numFmtId="0" fontId="5" fillId="33" borderId="14" xfId="49" applyFont="1" applyFill="1" applyBorder="1" applyAlignment="1">
      <alignment horizontal="center" vertical="center" wrapText="1"/>
      <protection/>
    </xf>
    <xf numFmtId="0" fontId="5" fillId="33" borderId="23" xfId="49" applyFont="1" applyFill="1" applyBorder="1" applyAlignment="1">
      <alignment horizontal="center" vertical="center" wrapText="1"/>
      <protection/>
    </xf>
    <xf numFmtId="0" fontId="5" fillId="13" borderId="14" xfId="49" applyFont="1" applyFill="1" applyBorder="1" applyAlignment="1">
      <alignment horizontal="center" vertical="center" wrapText="1"/>
      <protection/>
    </xf>
    <xf numFmtId="0" fontId="5" fillId="13" borderId="23" xfId="49" applyFont="1" applyFill="1" applyBorder="1" applyAlignment="1">
      <alignment horizontal="center" vertical="center" wrapText="1"/>
      <protection/>
    </xf>
    <xf numFmtId="0" fontId="5" fillId="13" borderId="25" xfId="49" applyFont="1" applyFill="1" applyBorder="1" applyAlignment="1">
      <alignment horizontal="center" vertical="center" wrapText="1"/>
      <protection/>
    </xf>
    <xf numFmtId="0" fontId="5" fillId="13" borderId="59" xfId="49" applyFont="1" applyFill="1" applyBorder="1" applyAlignment="1">
      <alignment horizontal="center" vertical="center" wrapText="1"/>
      <protection/>
    </xf>
    <xf numFmtId="0" fontId="42" fillId="0" borderId="0" xfId="49" applyFont="1" applyAlignment="1">
      <alignment horizontal="center" vertical="center"/>
      <protection/>
    </xf>
    <xf numFmtId="0" fontId="5" fillId="13" borderId="60" xfId="49" applyFont="1" applyFill="1" applyBorder="1" applyAlignment="1">
      <alignment horizontal="center" vertical="center" wrapText="1"/>
      <protection/>
    </xf>
    <xf numFmtId="1" fontId="43" fillId="0" borderId="39" xfId="0" applyNumberFormat="1" applyFont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3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2"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2"/>
  <sheetViews>
    <sheetView tabSelected="1" zoomScale="115" zoomScaleNormal="115" workbookViewId="0" topLeftCell="A1">
      <selection activeCell="D5" sqref="D5"/>
    </sheetView>
  </sheetViews>
  <sheetFormatPr defaultColWidth="11.421875" defaultRowHeight="24.75" customHeight="1"/>
  <cols>
    <col min="1" max="1" width="30.7109375" style="2" customWidth="1"/>
    <col min="2" max="2" width="9.7109375" style="1" customWidth="1"/>
    <col min="3" max="3" width="22.7109375" style="2" customWidth="1"/>
    <col min="4" max="4" width="10.7109375" style="1" customWidth="1"/>
    <col min="5" max="5" width="23.7109375" style="2" customWidth="1"/>
    <col min="6" max="8" width="10.7109375" style="1" customWidth="1"/>
    <col min="9" max="9" width="11.421875" style="2" customWidth="1"/>
    <col min="10" max="10" width="11.8515625" style="2" customWidth="1"/>
    <col min="11" max="21" width="10.7109375" style="2" customWidth="1"/>
    <col min="22" max="22" width="11.421875" style="2" customWidth="1"/>
    <col min="23" max="53" width="6.7109375" style="2" hidden="1" customWidth="1"/>
    <col min="54" max="64" width="11.421875" style="2" customWidth="1"/>
    <col min="65" max="16384" width="11.421875" style="2" customWidth="1"/>
  </cols>
  <sheetData>
    <row r="1" spans="1:53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K1" s="128" t="s">
        <v>1</v>
      </c>
      <c r="L1" s="129"/>
      <c r="M1" s="129"/>
      <c r="N1" s="129"/>
      <c r="O1" s="129"/>
      <c r="P1" s="129"/>
      <c r="Q1" s="129"/>
      <c r="R1" s="129"/>
      <c r="S1" s="129"/>
      <c r="T1" s="129"/>
      <c r="U1" s="130"/>
      <c r="W1" s="3">
        <v>0</v>
      </c>
      <c r="X1" s="3">
        <v>1</v>
      </c>
      <c r="Y1" s="3">
        <v>2</v>
      </c>
      <c r="Z1" s="3">
        <v>3</v>
      </c>
      <c r="AA1" s="3">
        <v>4</v>
      </c>
      <c r="AB1" s="3">
        <v>5</v>
      </c>
      <c r="AC1" s="3">
        <v>6</v>
      </c>
      <c r="AD1" s="3">
        <v>7</v>
      </c>
      <c r="AE1" s="3">
        <v>8</v>
      </c>
      <c r="AF1" s="3">
        <v>9</v>
      </c>
      <c r="AG1" s="3">
        <v>10</v>
      </c>
      <c r="AH1" s="3">
        <v>11</v>
      </c>
      <c r="AI1" s="3">
        <v>12</v>
      </c>
      <c r="AJ1" s="3">
        <v>13</v>
      </c>
      <c r="AK1" s="3">
        <v>14</v>
      </c>
      <c r="AL1" s="3">
        <v>15</v>
      </c>
      <c r="AM1" s="3">
        <v>16</v>
      </c>
      <c r="AN1" s="3">
        <v>17</v>
      </c>
      <c r="AO1" s="3">
        <v>18</v>
      </c>
      <c r="AP1" s="3">
        <v>19</v>
      </c>
      <c r="AQ1" s="3">
        <v>20</v>
      </c>
      <c r="AR1" s="3">
        <v>21</v>
      </c>
      <c r="AS1" s="3">
        <v>22</v>
      </c>
      <c r="AT1" s="3">
        <v>23</v>
      </c>
      <c r="AU1" s="3">
        <v>24</v>
      </c>
      <c r="AV1" s="3">
        <v>25</v>
      </c>
      <c r="AW1" s="3">
        <v>26</v>
      </c>
      <c r="AX1" s="3">
        <v>27</v>
      </c>
      <c r="AY1" s="3">
        <v>28</v>
      </c>
      <c r="AZ1" s="3">
        <v>29</v>
      </c>
      <c r="BA1" s="3">
        <v>30</v>
      </c>
    </row>
    <row r="2" spans="4:53" ht="24" customHeight="1">
      <c r="D2" s="115" t="s">
        <v>45</v>
      </c>
      <c r="K2" s="4" t="s">
        <v>2</v>
      </c>
      <c r="L2" s="131" t="s">
        <v>47</v>
      </c>
      <c r="M2" s="132"/>
      <c r="N2" s="133" t="s">
        <v>48</v>
      </c>
      <c r="O2" s="134"/>
      <c r="P2" s="134"/>
      <c r="Q2" s="135"/>
      <c r="R2" s="133" t="s">
        <v>49</v>
      </c>
      <c r="S2" s="134"/>
      <c r="T2" s="134"/>
      <c r="U2" s="136"/>
      <c r="W2" s="5">
        <v>1</v>
      </c>
      <c r="X2" s="5">
        <f aca="true" t="shared" si="0" ref="X2:AG2">W2-0.019</f>
        <v>0.981</v>
      </c>
      <c r="Y2" s="5">
        <f t="shared" si="0"/>
        <v>0.962</v>
      </c>
      <c r="Z2" s="5">
        <f t="shared" si="0"/>
        <v>0.943</v>
      </c>
      <c r="AA2" s="5">
        <f t="shared" si="0"/>
        <v>0.9239999999999999</v>
      </c>
      <c r="AB2" s="5">
        <f t="shared" si="0"/>
        <v>0.9049999999999999</v>
      </c>
      <c r="AC2" s="5">
        <f t="shared" si="0"/>
        <v>0.8859999999999999</v>
      </c>
      <c r="AD2" s="5">
        <f t="shared" si="0"/>
        <v>0.8669999999999999</v>
      </c>
      <c r="AE2" s="5">
        <f t="shared" si="0"/>
        <v>0.8479999999999999</v>
      </c>
      <c r="AF2" s="5">
        <f t="shared" si="0"/>
        <v>0.8289999999999998</v>
      </c>
      <c r="AG2" s="5">
        <f t="shared" si="0"/>
        <v>0.8099999999999998</v>
      </c>
      <c r="AH2" s="5">
        <f aca="true" t="shared" si="1" ref="AH2:AQ2">AG2-0.014</f>
        <v>0.7959999999999998</v>
      </c>
      <c r="AI2" s="5">
        <f t="shared" si="1"/>
        <v>0.7819999999999998</v>
      </c>
      <c r="AJ2" s="5">
        <f t="shared" si="1"/>
        <v>0.7679999999999998</v>
      </c>
      <c r="AK2" s="5">
        <f t="shared" si="1"/>
        <v>0.7539999999999998</v>
      </c>
      <c r="AL2" s="5">
        <f t="shared" si="1"/>
        <v>0.7399999999999998</v>
      </c>
      <c r="AM2" s="5">
        <f t="shared" si="1"/>
        <v>0.7259999999999998</v>
      </c>
      <c r="AN2" s="5">
        <f t="shared" si="1"/>
        <v>0.7119999999999997</v>
      </c>
      <c r="AO2" s="5">
        <f t="shared" si="1"/>
        <v>0.6979999999999997</v>
      </c>
      <c r="AP2" s="5">
        <f t="shared" si="1"/>
        <v>0.6839999999999997</v>
      </c>
      <c r="AQ2" s="5">
        <f t="shared" si="1"/>
        <v>0.6699999999999997</v>
      </c>
      <c r="AR2" s="5">
        <f aca="true" t="shared" si="2" ref="AR2:BA2">AQ2-0.011</f>
        <v>0.6589999999999997</v>
      </c>
      <c r="AS2" s="5">
        <f t="shared" si="2"/>
        <v>0.6479999999999997</v>
      </c>
      <c r="AT2" s="5">
        <f t="shared" si="2"/>
        <v>0.6369999999999997</v>
      </c>
      <c r="AU2" s="5">
        <f t="shared" si="2"/>
        <v>0.6259999999999997</v>
      </c>
      <c r="AV2" s="5">
        <f t="shared" si="2"/>
        <v>0.6149999999999997</v>
      </c>
      <c r="AW2" s="5">
        <f t="shared" si="2"/>
        <v>0.6039999999999996</v>
      </c>
      <c r="AX2" s="5">
        <f t="shared" si="2"/>
        <v>0.5929999999999996</v>
      </c>
      <c r="AY2" s="5">
        <f t="shared" si="2"/>
        <v>0.5819999999999996</v>
      </c>
      <c r="AZ2" s="5">
        <f t="shared" si="2"/>
        <v>0.5709999999999996</v>
      </c>
      <c r="BA2" s="5">
        <f t="shared" si="2"/>
        <v>0.5599999999999996</v>
      </c>
    </row>
    <row r="3" spans="1:41" ht="24" customHeight="1" thickBot="1">
      <c r="A3" s="6" t="s">
        <v>56</v>
      </c>
      <c r="B3" s="1" t="s">
        <v>3</v>
      </c>
      <c r="C3" s="6" t="s">
        <v>46</v>
      </c>
      <c r="D3" s="7">
        <v>900</v>
      </c>
      <c r="E3" s="6" t="s">
        <v>4</v>
      </c>
      <c r="F3" s="8" t="s">
        <v>5</v>
      </c>
      <c r="K3" s="9"/>
      <c r="L3" s="10"/>
      <c r="M3" s="11"/>
      <c r="N3" s="137" t="s">
        <v>6</v>
      </c>
      <c r="O3" s="138"/>
      <c r="P3" s="139" t="s">
        <v>7</v>
      </c>
      <c r="Q3" s="140"/>
      <c r="R3" s="137" t="s">
        <v>6</v>
      </c>
      <c r="S3" s="138"/>
      <c r="T3" s="139" t="s">
        <v>7</v>
      </c>
      <c r="U3" s="144"/>
      <c r="Y3" s="13" t="s">
        <v>53</v>
      </c>
      <c r="Z3" s="3">
        <f>$D$3</f>
        <v>900</v>
      </c>
      <c r="AB3" s="108" t="s">
        <v>8</v>
      </c>
      <c r="AE3" s="109" t="s">
        <v>9</v>
      </c>
      <c r="AG3" s="18" t="s">
        <v>54</v>
      </c>
      <c r="AO3" s="18" t="s">
        <v>55</v>
      </c>
    </row>
    <row r="4" spans="11:60" ht="24" customHeight="1">
      <c r="K4" s="14"/>
      <c r="L4" s="15" t="s">
        <v>10</v>
      </c>
      <c r="M4" s="16">
        <v>-20</v>
      </c>
      <c r="N4" s="75">
        <v>550</v>
      </c>
      <c r="O4" s="76">
        <v>-280</v>
      </c>
      <c r="P4" s="81">
        <v>645</v>
      </c>
      <c r="Q4" s="82">
        <v>-375</v>
      </c>
      <c r="R4" s="75">
        <v>360</v>
      </c>
      <c r="S4" s="76">
        <v>-180</v>
      </c>
      <c r="T4" s="81">
        <v>405</v>
      </c>
      <c r="U4" s="87">
        <v>-225</v>
      </c>
      <c r="W4" s="17"/>
      <c r="X4" s="21" t="s">
        <v>10</v>
      </c>
      <c r="Y4" s="22">
        <v>-20</v>
      </c>
      <c r="Z4" s="110">
        <f aca="true" t="shared" si="3" ref="Z4:Z12">(N4-R4)/200</f>
        <v>0.95</v>
      </c>
      <c r="AA4" s="111">
        <f aca="true" t="shared" si="4" ref="AA4:AA12">Z4*($D$3-900)</f>
        <v>0</v>
      </c>
      <c r="AB4" s="112">
        <f aca="true" t="shared" si="5" ref="AB4:AB12">R4+AA4</f>
        <v>360</v>
      </c>
      <c r="AC4" s="110">
        <f aca="true" t="shared" si="6" ref="AC4:AC12">(P4-T4)/200</f>
        <v>1.2</v>
      </c>
      <c r="AD4" s="111">
        <f aca="true" t="shared" si="7" ref="AD4:AD12">AC4*($D$3-900)</f>
        <v>0</v>
      </c>
      <c r="AE4" s="113">
        <f aca="true" t="shared" si="8" ref="AE4:AE12">T4+AD4</f>
        <v>405</v>
      </c>
      <c r="AG4" s="65">
        <f>$D$3</f>
        <v>900</v>
      </c>
      <c r="AH4" s="68" t="s">
        <v>41</v>
      </c>
      <c r="AI4" s="65">
        <f>$D$9</f>
        <v>442</v>
      </c>
      <c r="AJ4" s="68" t="s">
        <v>40</v>
      </c>
      <c r="AO4" s="65">
        <f>$D$3</f>
        <v>900</v>
      </c>
      <c r="AP4" s="68" t="s">
        <v>41</v>
      </c>
      <c r="AQ4" s="65">
        <f>$D$9</f>
        <v>442</v>
      </c>
      <c r="AR4" s="69" t="s">
        <v>40</v>
      </c>
      <c r="AS4" s="65">
        <f>$F$7</f>
        <v>15</v>
      </c>
      <c r="AT4" s="69" t="s">
        <v>42</v>
      </c>
      <c r="AU4" s="70"/>
      <c r="AZ4" s="18"/>
      <c r="BA4" s="18"/>
      <c r="BB4" s="18"/>
      <c r="BC4" s="18"/>
      <c r="BD4" s="18"/>
      <c r="BH4" s="18"/>
    </row>
    <row r="5" spans="1:67" ht="24" customHeight="1">
      <c r="A5" s="6" t="s">
        <v>11</v>
      </c>
      <c r="B5" s="19" t="s">
        <v>12</v>
      </c>
      <c r="C5" s="6" t="s">
        <v>13</v>
      </c>
      <c r="D5" s="8" t="s">
        <v>9</v>
      </c>
      <c r="E5" s="6" t="s">
        <v>19</v>
      </c>
      <c r="F5" s="7">
        <v>740</v>
      </c>
      <c r="G5" s="6" t="s">
        <v>20</v>
      </c>
      <c r="H5" s="7">
        <v>660</v>
      </c>
      <c r="K5" s="20">
        <v>0</v>
      </c>
      <c r="L5" s="21" t="s">
        <v>16</v>
      </c>
      <c r="M5" s="22">
        <v>15</v>
      </c>
      <c r="N5" s="77">
        <v>610</v>
      </c>
      <c r="O5" s="78">
        <v>-315</v>
      </c>
      <c r="P5" s="83">
        <v>725</v>
      </c>
      <c r="Q5" s="84">
        <v>-430</v>
      </c>
      <c r="R5" s="77">
        <v>400</v>
      </c>
      <c r="S5" s="78">
        <v>-200</v>
      </c>
      <c r="T5" s="83">
        <v>455</v>
      </c>
      <c r="U5" s="88">
        <v>-255</v>
      </c>
      <c r="W5" s="23">
        <v>0</v>
      </c>
      <c r="X5" s="21" t="s">
        <v>16</v>
      </c>
      <c r="Y5" s="22">
        <v>15</v>
      </c>
      <c r="Z5" s="110">
        <f t="shared" si="3"/>
        <v>1.05</v>
      </c>
      <c r="AA5" s="111">
        <f t="shared" si="4"/>
        <v>0</v>
      </c>
      <c r="AB5" s="112">
        <f t="shared" si="5"/>
        <v>400</v>
      </c>
      <c r="AC5" s="110">
        <f t="shared" si="6"/>
        <v>1.35</v>
      </c>
      <c r="AD5" s="111">
        <f t="shared" si="7"/>
        <v>0</v>
      </c>
      <c r="AE5" s="113">
        <f t="shared" si="8"/>
        <v>455</v>
      </c>
      <c r="AG5" s="66" t="s">
        <v>39</v>
      </c>
      <c r="AH5" s="61"/>
      <c r="AI5" s="74" t="s">
        <v>9</v>
      </c>
      <c r="AJ5" s="74"/>
      <c r="AO5" s="66" t="s">
        <v>39</v>
      </c>
      <c r="AP5" s="64" t="s">
        <v>9</v>
      </c>
      <c r="AQ5" s="71" t="s">
        <v>43</v>
      </c>
      <c r="AR5" s="72"/>
      <c r="AS5" s="72"/>
      <c r="AT5" s="72"/>
      <c r="AU5" s="72"/>
      <c r="AW5" s="3"/>
      <c r="AZ5" s="24"/>
      <c r="BA5" s="24"/>
      <c r="BB5" s="1"/>
      <c r="BC5" s="1"/>
      <c r="BD5" s="1"/>
      <c r="BJ5" s="3"/>
      <c r="BK5" s="26"/>
      <c r="BL5" s="3"/>
      <c r="BM5" s="3"/>
      <c r="BN5" s="3"/>
      <c r="BO5" s="3"/>
    </row>
    <row r="6" spans="11:66" ht="24" customHeight="1" thickBot="1">
      <c r="K6" s="27"/>
      <c r="L6" s="12" t="s">
        <v>10</v>
      </c>
      <c r="M6" s="28">
        <v>20</v>
      </c>
      <c r="N6" s="79">
        <v>675</v>
      </c>
      <c r="O6" s="80">
        <v>-350</v>
      </c>
      <c r="P6" s="85">
        <v>810</v>
      </c>
      <c r="Q6" s="86">
        <v>-485</v>
      </c>
      <c r="R6" s="79">
        <v>440</v>
      </c>
      <c r="S6" s="80">
        <v>-225</v>
      </c>
      <c r="T6" s="85">
        <v>500</v>
      </c>
      <c r="U6" s="89">
        <v>-285</v>
      </c>
      <c r="W6" s="29"/>
      <c r="X6" s="21" t="s">
        <v>10</v>
      </c>
      <c r="Y6" s="114">
        <v>20</v>
      </c>
      <c r="Z6" s="110">
        <f t="shared" si="3"/>
        <v>1.175</v>
      </c>
      <c r="AA6" s="111">
        <f t="shared" si="4"/>
        <v>0</v>
      </c>
      <c r="AB6" s="112">
        <f t="shared" si="5"/>
        <v>440</v>
      </c>
      <c r="AC6" s="110">
        <f t="shared" si="6"/>
        <v>1.55</v>
      </c>
      <c r="AD6" s="111">
        <f t="shared" si="7"/>
        <v>0</v>
      </c>
      <c r="AE6" s="113">
        <f t="shared" si="8"/>
        <v>500</v>
      </c>
      <c r="AG6" s="67">
        <f>IF($D$9&lt;4001,((AB7-AB4)/4000)*$D$9,AB7-AB4)</f>
        <v>12.707500000000001</v>
      </c>
      <c r="AH6" s="24" t="str">
        <f>IF($D$9&lt;4001,"0",IF(AND($D$9&gt;4000,$D$9&lt;8001),((AB9-AB6)/4000)*($D$9-4000),AB9-AB6))</f>
        <v>0</v>
      </c>
      <c r="AI6" s="67">
        <f>IF($D$9&lt;4001,((AE7-AE4)/4000)*$D$9,AE7-AE4)</f>
        <v>16.022499999999997</v>
      </c>
      <c r="AJ6" s="67" t="str">
        <f>IF($D$9&lt;4001,"0",IF(AND($D$9&gt;4000,$D$9&lt;8001),((AE10-AE7)/4000)*($D$9-4000),AE10-AE7))</f>
        <v>0</v>
      </c>
      <c r="AO6" s="63">
        <f>IF($F$7=(-0.002*$D$9)+15,$AG$9,IF($F$7&lt;(-0.002*$D$9)+15,$AG$9+(($AG$9-$AG$7)/20)*($F$7-((-0.002*$D$9)+15)),$AG$9+((($AG$11-$AG$9)/20)*($F$7-((-0.002*$D$9)+15)))))</f>
        <v>416.2062615</v>
      </c>
      <c r="AP6" s="62">
        <f>IF($F$7=(-0.002*$D$9)+15,$AI$9,IF($F$7&lt;(-0.002*$D$9)+15,$AI$9+((($AI$9-$AI$7)/20)*($F$7-((-0.002*$D$9)+15))),$AI$9+((($AI$11-$AI$9)/20)*($F$7-((-0.002*$D$9)+15)))))</f>
        <v>475.34360250000003</v>
      </c>
      <c r="AQ6" s="72"/>
      <c r="AR6" s="72"/>
      <c r="AS6" s="72"/>
      <c r="AT6" s="72"/>
      <c r="AU6" s="72"/>
      <c r="AZ6" s="24"/>
      <c r="BA6" s="24"/>
      <c r="BB6" s="1"/>
      <c r="BC6" s="1"/>
      <c r="BD6" s="1"/>
      <c r="BE6" s="3"/>
      <c r="BF6" s="116"/>
      <c r="BJ6" s="3"/>
      <c r="BK6" s="26"/>
      <c r="BL6" s="3"/>
      <c r="BM6" s="3"/>
      <c r="BN6" s="3"/>
    </row>
    <row r="7" spans="1:57" ht="24" customHeight="1">
      <c r="A7" s="6" t="s">
        <v>17</v>
      </c>
      <c r="B7" s="7">
        <v>1013</v>
      </c>
      <c r="C7" s="6" t="s">
        <v>18</v>
      </c>
      <c r="D7" s="7">
        <v>442</v>
      </c>
      <c r="E7" s="6" t="s">
        <v>14</v>
      </c>
      <c r="F7" s="7">
        <v>15</v>
      </c>
      <c r="G7" s="6" t="s">
        <v>15</v>
      </c>
      <c r="H7" s="7">
        <v>0</v>
      </c>
      <c r="K7" s="14"/>
      <c r="L7" s="15" t="s">
        <v>10</v>
      </c>
      <c r="M7" s="16">
        <v>-20</v>
      </c>
      <c r="N7" s="75">
        <v>735</v>
      </c>
      <c r="O7" s="76">
        <v>-375</v>
      </c>
      <c r="P7" s="81">
        <v>900</v>
      </c>
      <c r="Q7" s="82">
        <v>-540</v>
      </c>
      <c r="R7" s="75">
        <v>475</v>
      </c>
      <c r="S7" s="76">
        <v>-240</v>
      </c>
      <c r="T7" s="81">
        <v>550</v>
      </c>
      <c r="U7" s="87">
        <v>-315</v>
      </c>
      <c r="W7" s="30"/>
      <c r="X7" s="21" t="s">
        <v>10</v>
      </c>
      <c r="Y7" s="22">
        <v>-20</v>
      </c>
      <c r="Z7" s="110">
        <f t="shared" si="3"/>
        <v>1.3</v>
      </c>
      <c r="AA7" s="111">
        <f t="shared" si="4"/>
        <v>0</v>
      </c>
      <c r="AB7" s="112">
        <f t="shared" si="5"/>
        <v>475</v>
      </c>
      <c r="AC7" s="110">
        <f t="shared" si="6"/>
        <v>1.75</v>
      </c>
      <c r="AD7" s="111">
        <f t="shared" si="7"/>
        <v>0</v>
      </c>
      <c r="AE7" s="113">
        <f t="shared" si="8"/>
        <v>550</v>
      </c>
      <c r="AG7" s="63">
        <f>AB4+AG6+AH6</f>
        <v>372.7075</v>
      </c>
      <c r="AH7" s="63"/>
      <c r="AI7" s="62">
        <f>AE4+AI6+AJ6</f>
        <v>421.0225</v>
      </c>
      <c r="AJ7" s="63"/>
      <c r="AO7" s="73" t="s">
        <v>44</v>
      </c>
      <c r="AP7" s="24"/>
      <c r="AQ7" s="24"/>
      <c r="AR7" s="24"/>
      <c r="AZ7" s="24"/>
      <c r="BA7" s="24"/>
      <c r="BB7" s="1"/>
      <c r="BC7" s="1"/>
      <c r="BD7" s="1"/>
      <c r="BE7" s="3"/>
    </row>
    <row r="8" spans="11:60" ht="24" customHeight="1">
      <c r="K8" s="20">
        <v>4000</v>
      </c>
      <c r="L8" s="21" t="s">
        <v>16</v>
      </c>
      <c r="M8" s="22">
        <v>7</v>
      </c>
      <c r="N8" s="77">
        <v>825</v>
      </c>
      <c r="O8" s="78">
        <v>-420</v>
      </c>
      <c r="P8" s="83">
        <v>1025</v>
      </c>
      <c r="Q8" s="84">
        <v>-620</v>
      </c>
      <c r="R8" s="77">
        <v>530</v>
      </c>
      <c r="S8" s="78">
        <v>-270</v>
      </c>
      <c r="T8" s="83">
        <v>620</v>
      </c>
      <c r="U8" s="88">
        <v>-360</v>
      </c>
      <c r="W8" s="32">
        <v>4000</v>
      </c>
      <c r="X8" s="21" t="s">
        <v>16</v>
      </c>
      <c r="Y8" s="22">
        <v>7</v>
      </c>
      <c r="Z8" s="110">
        <f t="shared" si="3"/>
        <v>1.475</v>
      </c>
      <c r="AA8" s="111">
        <f t="shared" si="4"/>
        <v>0</v>
      </c>
      <c r="AB8" s="112">
        <f t="shared" si="5"/>
        <v>530</v>
      </c>
      <c r="AC8" s="110">
        <f t="shared" si="6"/>
        <v>2.025</v>
      </c>
      <c r="AD8" s="111">
        <f t="shared" si="7"/>
        <v>0</v>
      </c>
      <c r="AE8" s="113">
        <f t="shared" si="8"/>
        <v>620</v>
      </c>
      <c r="AG8" s="67">
        <f>IF($D$9&lt;4001,((AB8-AB5)/4000)*$D$9,AB8-AB5)</f>
        <v>14.365</v>
      </c>
      <c r="AH8" s="67" t="str">
        <f>IF($D$9&lt;4001,"0",IF(AND($D$9&gt;4000,$D$9&lt;8001),((AB11-AB8)/4000)*($D$9-4000),AB11-AB8))</f>
        <v>0</v>
      </c>
      <c r="AI8" s="67">
        <f>IF($D$9&lt;4001,((AE8-AE5)/4000)*$D$9,AE8-AE5)</f>
        <v>18.2325</v>
      </c>
      <c r="AJ8" s="67" t="str">
        <f>IF($D$9&lt;4001,"0",IF(AND($D$9&gt;4000,$D$9&lt;8001),((AE11-AE8)/4000)*($D$9-4000),AE11-AE8))</f>
        <v>0</v>
      </c>
      <c r="AO8" s="63">
        <f>HLOOKUP($H$7,$W$1:$BA$2,2,0)*AO6</f>
        <v>416.2062615</v>
      </c>
      <c r="AP8" s="62">
        <f>HLOOKUP($H$7,$W$1:$BA$2,2,0)*AP6</f>
        <v>475.34360250000003</v>
      </c>
      <c r="AS8" s="24"/>
      <c r="AT8" s="24"/>
      <c r="AU8" s="24"/>
      <c r="AV8" s="24"/>
      <c r="AW8" s="24"/>
      <c r="BH8" s="18"/>
    </row>
    <row r="9" spans="1:58" ht="24" customHeight="1" thickBot="1">
      <c r="A9" s="33"/>
      <c r="C9" s="6" t="s">
        <v>21</v>
      </c>
      <c r="D9" s="1">
        <f>IF(D7+((1013-B7)*28)&lt;0,0,D7+((1013-B7)*28))</f>
        <v>442</v>
      </c>
      <c r="E9" s="34" t="s">
        <v>22</v>
      </c>
      <c r="K9" s="27"/>
      <c r="L9" s="12" t="s">
        <v>10</v>
      </c>
      <c r="M9" s="28">
        <v>20</v>
      </c>
      <c r="N9" s="79">
        <v>920</v>
      </c>
      <c r="O9" s="80">
        <v>-475</v>
      </c>
      <c r="P9" s="85">
        <v>1155</v>
      </c>
      <c r="Q9" s="86">
        <v>-710</v>
      </c>
      <c r="R9" s="79">
        <v>585</v>
      </c>
      <c r="S9" s="80">
        <v>-300</v>
      </c>
      <c r="T9" s="85">
        <v>690</v>
      </c>
      <c r="U9" s="89">
        <v>-405</v>
      </c>
      <c r="W9" s="35"/>
      <c r="X9" s="21" t="s">
        <v>10</v>
      </c>
      <c r="Y9" s="114">
        <v>20</v>
      </c>
      <c r="Z9" s="110">
        <f t="shared" si="3"/>
        <v>1.675</v>
      </c>
      <c r="AA9" s="111">
        <f t="shared" si="4"/>
        <v>0</v>
      </c>
      <c r="AB9" s="112">
        <f t="shared" si="5"/>
        <v>585</v>
      </c>
      <c r="AC9" s="110">
        <f t="shared" si="6"/>
        <v>2.325</v>
      </c>
      <c r="AD9" s="111">
        <f t="shared" si="7"/>
        <v>0</v>
      </c>
      <c r="AE9" s="113">
        <f t="shared" si="8"/>
        <v>690</v>
      </c>
      <c r="AG9" s="63">
        <f>AB5+AG8+AH8</f>
        <v>414.365</v>
      </c>
      <c r="AH9" s="61"/>
      <c r="AI9" s="62">
        <f>AE5+AI8+AJ8</f>
        <v>473.2325</v>
      </c>
      <c r="AJ9" s="61"/>
      <c r="AQ9" s="1"/>
      <c r="AR9" s="18"/>
      <c r="AS9" s="18"/>
      <c r="AT9" s="18"/>
      <c r="AU9" s="18"/>
      <c r="AV9" s="18"/>
      <c r="AW9" s="18"/>
      <c r="AX9" s="18"/>
      <c r="BA9" s="3"/>
      <c r="BB9" s="26"/>
      <c r="BC9" s="3"/>
      <c r="BD9" s="3"/>
      <c r="BE9" s="3"/>
      <c r="BF9" s="3"/>
    </row>
    <row r="10" spans="11:60" ht="24" customHeight="1">
      <c r="K10" s="14"/>
      <c r="L10" s="15" t="s">
        <v>10</v>
      </c>
      <c r="M10" s="16">
        <v>-20</v>
      </c>
      <c r="N10" s="75">
        <v>1010</v>
      </c>
      <c r="O10" s="76">
        <v>-510</v>
      </c>
      <c r="P10" s="81">
        <v>1310</v>
      </c>
      <c r="Q10" s="82">
        <v>-810</v>
      </c>
      <c r="R10" s="75">
        <v>635</v>
      </c>
      <c r="S10" s="76">
        <v>-320</v>
      </c>
      <c r="T10" s="81">
        <v>765</v>
      </c>
      <c r="U10" s="90">
        <v>-450</v>
      </c>
      <c r="W10" s="126">
        <v>8000</v>
      </c>
      <c r="X10" s="47" t="s">
        <v>10</v>
      </c>
      <c r="Y10" s="48">
        <v>-20</v>
      </c>
      <c r="Z10" s="110">
        <f t="shared" si="3"/>
        <v>1.875</v>
      </c>
      <c r="AA10" s="111">
        <f t="shared" si="4"/>
        <v>0</v>
      </c>
      <c r="AB10" s="112">
        <f t="shared" si="5"/>
        <v>635</v>
      </c>
      <c r="AC10" s="110">
        <f t="shared" si="6"/>
        <v>2.725</v>
      </c>
      <c r="AD10" s="111">
        <f t="shared" si="7"/>
        <v>0</v>
      </c>
      <c r="AE10" s="113">
        <f t="shared" si="8"/>
        <v>765</v>
      </c>
      <c r="AG10" s="67">
        <f>IF($D$9&lt;4001,((AB9-AB6)/4000)*$D$9,AB9-AB6)</f>
        <v>16.022499999999997</v>
      </c>
      <c r="AH10" s="67" t="str">
        <f>IF($D$9&lt;4001,"0",IF(AND($D$9&gt;4000,$D$9&lt;8001),((AB12-AB9)/4000)*($D$9-4000),AB12-AB9))</f>
        <v>0</v>
      </c>
      <c r="AI10" s="67">
        <f>IF($D$9&lt;4001,((AE9-AE6)/4000)*$D$9,AE9-AE6)</f>
        <v>20.995</v>
      </c>
      <c r="AJ10" s="67" t="str">
        <f>IF($D$9&lt;4001,"0",IF(AND($D$9&gt;4000,$D$9&lt;8001),((AE12-AE9)/4000)*($D$9-4000),AE12-AE9))</f>
        <v>0</v>
      </c>
      <c r="AN10" s="1"/>
      <c r="AO10" s="24"/>
      <c r="AP10" s="145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3"/>
      <c r="BG10" s="3"/>
      <c r="BH10" s="3"/>
    </row>
    <row r="11" spans="1:59" ht="24" customHeight="1">
      <c r="A11" s="6" t="s">
        <v>23</v>
      </c>
      <c r="B11" s="1" t="s">
        <v>24</v>
      </c>
      <c r="C11" s="1" t="s">
        <v>25</v>
      </c>
      <c r="D11" s="1" t="s">
        <v>26</v>
      </c>
      <c r="E11" s="1" t="s">
        <v>27</v>
      </c>
      <c r="K11" s="20">
        <v>8000</v>
      </c>
      <c r="L11" s="21" t="s">
        <v>16</v>
      </c>
      <c r="M11" s="22">
        <v>-1</v>
      </c>
      <c r="N11" s="77">
        <v>1140</v>
      </c>
      <c r="O11" s="78">
        <v>-580</v>
      </c>
      <c r="P11" s="83">
        <v>1505</v>
      </c>
      <c r="Q11" s="84">
        <v>-945</v>
      </c>
      <c r="R11" s="77">
        <v>715</v>
      </c>
      <c r="S11" s="78">
        <v>-365</v>
      </c>
      <c r="T11" s="83">
        <v>870</v>
      </c>
      <c r="U11" s="91">
        <v>-520</v>
      </c>
      <c r="W11" s="126"/>
      <c r="X11" s="21" t="s">
        <v>16</v>
      </c>
      <c r="Y11" s="22">
        <v>-1</v>
      </c>
      <c r="Z11" s="110">
        <f t="shared" si="3"/>
        <v>2.125</v>
      </c>
      <c r="AA11" s="111">
        <f t="shared" si="4"/>
        <v>0</v>
      </c>
      <c r="AB11" s="112">
        <f t="shared" si="5"/>
        <v>715</v>
      </c>
      <c r="AC11" s="110">
        <f t="shared" si="6"/>
        <v>3.175</v>
      </c>
      <c r="AD11" s="111">
        <f t="shared" si="7"/>
        <v>0</v>
      </c>
      <c r="AE11" s="113">
        <f t="shared" si="8"/>
        <v>870</v>
      </c>
      <c r="AG11" s="63">
        <f>AB6+AG10+AH10</f>
        <v>456.0225</v>
      </c>
      <c r="AH11" s="61"/>
      <c r="AI11" s="62">
        <f>AE6+AI10+AJ10</f>
        <v>520.995</v>
      </c>
      <c r="AJ11" s="61"/>
      <c r="AL11" s="3"/>
      <c r="AN11" s="1"/>
      <c r="AO11" s="24"/>
      <c r="AP11" s="73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3"/>
      <c r="BG11" s="3"/>
    </row>
    <row r="12" spans="1:59" ht="24" customHeight="1" thickBot="1">
      <c r="A12" s="6" t="s">
        <v>28</v>
      </c>
      <c r="B12" s="24">
        <f>IF(D5="Herbe",AP8,AO8)</f>
        <v>475.34360250000003</v>
      </c>
      <c r="C12" s="24">
        <f>B12*1.2</f>
        <v>570.412323</v>
      </c>
      <c r="D12" s="24">
        <f>IF(D5="Herbe",AP22,AO22)</f>
        <v>588.7375906374999</v>
      </c>
      <c r="E12" s="24">
        <f>D12*1.2</f>
        <v>706.4851087649998</v>
      </c>
      <c r="G12" s="24"/>
      <c r="K12" s="36"/>
      <c r="L12" s="12" t="s">
        <v>10</v>
      </c>
      <c r="M12" s="28">
        <v>20</v>
      </c>
      <c r="N12" s="79">
        <v>1280</v>
      </c>
      <c r="O12" s="80">
        <v>-650</v>
      </c>
      <c r="P12" s="85">
        <v>1730</v>
      </c>
      <c r="Q12" s="86">
        <v>-1100</v>
      </c>
      <c r="R12" s="79">
        <v>795</v>
      </c>
      <c r="S12" s="80">
        <v>-410</v>
      </c>
      <c r="T12" s="85">
        <v>980</v>
      </c>
      <c r="U12" s="92">
        <v>-595</v>
      </c>
      <c r="W12" s="127"/>
      <c r="X12" s="21" t="s">
        <v>10</v>
      </c>
      <c r="Y12" s="114">
        <v>20</v>
      </c>
      <c r="Z12" s="110">
        <f t="shared" si="3"/>
        <v>2.425</v>
      </c>
      <c r="AA12" s="111">
        <f t="shared" si="4"/>
        <v>0</v>
      </c>
      <c r="AB12" s="112">
        <f t="shared" si="5"/>
        <v>795</v>
      </c>
      <c r="AC12" s="110">
        <f t="shared" si="6"/>
        <v>3.75</v>
      </c>
      <c r="AD12" s="111">
        <f t="shared" si="7"/>
        <v>0</v>
      </c>
      <c r="AE12" s="113">
        <f t="shared" si="8"/>
        <v>980</v>
      </c>
      <c r="AN12" s="31"/>
      <c r="AO12" s="24"/>
      <c r="AP12" s="24"/>
      <c r="AQ12" s="24"/>
      <c r="AR12" s="24"/>
      <c r="AS12" s="24"/>
      <c r="AT12" s="24"/>
      <c r="AU12" s="24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11" ht="24" customHeight="1">
      <c r="A13" s="18" t="s">
        <v>36</v>
      </c>
      <c r="E13" s="18"/>
      <c r="K13" s="38" t="s">
        <v>30</v>
      </c>
    </row>
    <row r="14" spans="1:11" ht="24" customHeight="1" thickBot="1">
      <c r="A14" s="37" t="s">
        <v>29</v>
      </c>
      <c r="K14" s="37" t="s">
        <v>31</v>
      </c>
    </row>
    <row r="15" spans="1:9" ht="24" customHeight="1" thickBot="1">
      <c r="A15" s="52" t="s">
        <v>32</v>
      </c>
      <c r="B15" s="53">
        <f>F5-C12</f>
        <v>169.58767699999999</v>
      </c>
      <c r="C15" s="54" t="str">
        <f>IF(B15&gt;=0,"Vous pouvez utiliser cette piste en conditions normales.","Vous ne pouvez paz utiliser cette piste")</f>
        <v>Vous pouvez utiliser cette piste en conditions normales.</v>
      </c>
      <c r="D15" s="55"/>
      <c r="E15" s="55"/>
      <c r="F15" s="56"/>
      <c r="G15" s="56"/>
      <c r="H15" s="56"/>
      <c r="I15" s="57"/>
    </row>
    <row r="16" spans="2:21" ht="24" customHeight="1" thickBot="1">
      <c r="B16" s="60"/>
      <c r="C16" s="59"/>
      <c r="J16" s="39"/>
      <c r="K16" s="128" t="s">
        <v>33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30"/>
    </row>
    <row r="17" spans="1:41" ht="24" customHeight="1" thickBot="1">
      <c r="A17" s="52" t="s">
        <v>34</v>
      </c>
      <c r="B17" s="58">
        <f>H5-E12</f>
        <v>-46.485108764999836</v>
      </c>
      <c r="C17" s="54" t="str">
        <f>IF(B17&gt;=0,"Vous pouvez utiliser cette piste en conditions normales.","Vous ne pouvez paz utiliser cette piste")</f>
        <v>Vous ne pouvez paz utiliser cette piste</v>
      </c>
      <c r="D17" s="55"/>
      <c r="E17" s="55"/>
      <c r="F17" s="56"/>
      <c r="G17" s="56"/>
      <c r="H17" s="56"/>
      <c r="I17" s="57"/>
      <c r="K17" s="4" t="s">
        <v>2</v>
      </c>
      <c r="L17" s="131" t="s">
        <v>50</v>
      </c>
      <c r="M17" s="132"/>
      <c r="N17" s="133" t="s">
        <v>51</v>
      </c>
      <c r="O17" s="134"/>
      <c r="P17" s="134"/>
      <c r="Q17" s="135"/>
      <c r="R17" s="133" t="s">
        <v>52</v>
      </c>
      <c r="S17" s="134"/>
      <c r="T17" s="134"/>
      <c r="U17" s="136"/>
      <c r="Y17" s="13" t="s">
        <v>53</v>
      </c>
      <c r="AB17" s="108" t="s">
        <v>8</v>
      </c>
      <c r="AE17" s="109" t="s">
        <v>9</v>
      </c>
      <c r="AG17" s="18" t="s">
        <v>54</v>
      </c>
      <c r="AO17" s="18" t="s">
        <v>55</v>
      </c>
    </row>
    <row r="18" spans="11:47" ht="24" customHeight="1" thickBot="1">
      <c r="K18" s="9"/>
      <c r="L18" s="10"/>
      <c r="M18" s="11"/>
      <c r="N18" s="137" t="s">
        <v>6</v>
      </c>
      <c r="O18" s="138"/>
      <c r="P18" s="139" t="s">
        <v>7</v>
      </c>
      <c r="Q18" s="140"/>
      <c r="R18" s="137" t="s">
        <v>6</v>
      </c>
      <c r="S18" s="138"/>
      <c r="T18" s="141" t="s">
        <v>7</v>
      </c>
      <c r="U18" s="142"/>
      <c r="W18" s="17"/>
      <c r="X18" s="21" t="s">
        <v>10</v>
      </c>
      <c r="Y18" s="22">
        <v>-20</v>
      </c>
      <c r="Z18" s="110">
        <f aca="true" t="shared" si="9" ref="Z18:Z26">(N19-R19)/200</f>
        <v>0.375</v>
      </c>
      <c r="AA18" s="111">
        <f aca="true" t="shared" si="10" ref="AA18:AA26">Z18*($D$3-845)</f>
        <v>20.625</v>
      </c>
      <c r="AB18" s="112">
        <f aca="true" t="shared" si="11" ref="AB18:AB26">R19+AA18</f>
        <v>445.625</v>
      </c>
      <c r="AC18" s="110">
        <f aca="true" t="shared" si="12" ref="AC18:AC26">(P19-T19)/200</f>
        <v>0.5</v>
      </c>
      <c r="AD18" s="111">
        <f aca="true" t="shared" si="13" ref="AD18:AD26">AC18*($D$3-845)</f>
        <v>27.5</v>
      </c>
      <c r="AE18" s="113">
        <f aca="true" t="shared" si="14" ref="AE18:AE26">T19+AD18</f>
        <v>547.5</v>
      </c>
      <c r="AG18" s="65">
        <f>$D$3</f>
        <v>900</v>
      </c>
      <c r="AH18" s="68" t="s">
        <v>41</v>
      </c>
      <c r="AI18" s="65">
        <f>$D$9</f>
        <v>442</v>
      </c>
      <c r="AJ18" s="68" t="s">
        <v>40</v>
      </c>
      <c r="AK18" s="18"/>
      <c r="AO18" s="65">
        <f>$D$3</f>
        <v>900</v>
      </c>
      <c r="AP18" s="68" t="s">
        <v>41</v>
      </c>
      <c r="AQ18" s="65">
        <f>$D$9</f>
        <v>442</v>
      </c>
      <c r="AR18" s="69" t="s">
        <v>40</v>
      </c>
      <c r="AS18" s="65">
        <f>$F$7</f>
        <v>15</v>
      </c>
      <c r="AT18" s="69" t="s">
        <v>42</v>
      </c>
      <c r="AU18" s="70"/>
    </row>
    <row r="19" spans="1:52" ht="27.75" customHeight="1" thickTop="1">
      <c r="A19" s="118" t="s">
        <v>57</v>
      </c>
      <c r="B19" s="118"/>
      <c r="C19" s="118"/>
      <c r="D19" s="118"/>
      <c r="E19" s="118"/>
      <c r="F19" s="118"/>
      <c r="G19" s="118"/>
      <c r="H19" s="118"/>
      <c r="I19" s="118"/>
      <c r="K19" s="41"/>
      <c r="L19" s="42" t="s">
        <v>10</v>
      </c>
      <c r="M19" s="43">
        <v>-20</v>
      </c>
      <c r="N19" s="93">
        <v>500</v>
      </c>
      <c r="O19" s="94">
        <v>-230</v>
      </c>
      <c r="P19" s="99">
        <v>620</v>
      </c>
      <c r="Q19" s="100">
        <v>-350</v>
      </c>
      <c r="R19" s="93">
        <v>425</v>
      </c>
      <c r="S19" s="94">
        <v>-190</v>
      </c>
      <c r="T19" s="99">
        <v>520</v>
      </c>
      <c r="U19" s="105">
        <v>-285</v>
      </c>
      <c r="W19" s="23">
        <v>0</v>
      </c>
      <c r="X19" s="21" t="s">
        <v>16</v>
      </c>
      <c r="Y19" s="22">
        <v>15</v>
      </c>
      <c r="Z19" s="110">
        <f t="shared" si="9"/>
        <v>0.4</v>
      </c>
      <c r="AA19" s="111">
        <f t="shared" si="10"/>
        <v>22</v>
      </c>
      <c r="AB19" s="112">
        <f t="shared" si="11"/>
        <v>472</v>
      </c>
      <c r="AC19" s="110">
        <f t="shared" si="12"/>
        <v>0.55</v>
      </c>
      <c r="AD19" s="111">
        <f t="shared" si="13"/>
        <v>30.250000000000004</v>
      </c>
      <c r="AE19" s="113">
        <f t="shared" si="14"/>
        <v>580.25</v>
      </c>
      <c r="AG19" s="66" t="s">
        <v>39</v>
      </c>
      <c r="AH19" s="61"/>
      <c r="AI19" s="74" t="s">
        <v>9</v>
      </c>
      <c r="AJ19" s="74"/>
      <c r="AK19" s="24"/>
      <c r="AO19" s="66" t="s">
        <v>39</v>
      </c>
      <c r="AP19" s="64" t="s">
        <v>9</v>
      </c>
      <c r="AQ19" s="71" t="s">
        <v>43</v>
      </c>
      <c r="AR19" s="72"/>
      <c r="AS19" s="72"/>
      <c r="AT19" s="72"/>
      <c r="AU19" s="72"/>
      <c r="AX19" s="3"/>
      <c r="AY19" s="26"/>
      <c r="AZ19" s="3"/>
    </row>
    <row r="20" spans="1:51" ht="27.75" customHeight="1">
      <c r="A20" s="118" t="s">
        <v>58</v>
      </c>
      <c r="B20" s="118"/>
      <c r="C20" s="118"/>
      <c r="D20" s="118"/>
      <c r="E20" s="118"/>
      <c r="F20" s="118"/>
      <c r="G20" s="118"/>
      <c r="H20" s="118"/>
      <c r="I20" s="118"/>
      <c r="K20" s="20">
        <v>0</v>
      </c>
      <c r="L20" s="21" t="s">
        <v>16</v>
      </c>
      <c r="M20" s="22">
        <v>15</v>
      </c>
      <c r="N20" s="77">
        <v>530</v>
      </c>
      <c r="O20" s="78">
        <v>-250</v>
      </c>
      <c r="P20" s="83">
        <v>660</v>
      </c>
      <c r="Q20" s="84">
        <v>-380</v>
      </c>
      <c r="R20" s="77">
        <v>450</v>
      </c>
      <c r="S20" s="78">
        <v>-200</v>
      </c>
      <c r="T20" s="83">
        <v>550</v>
      </c>
      <c r="U20" s="88">
        <v>-300</v>
      </c>
      <c r="W20" s="29"/>
      <c r="X20" s="21" t="s">
        <v>10</v>
      </c>
      <c r="Y20" s="114">
        <v>20</v>
      </c>
      <c r="Z20" s="110">
        <f t="shared" si="9"/>
        <v>0.425</v>
      </c>
      <c r="AA20" s="111">
        <f t="shared" si="10"/>
        <v>23.375</v>
      </c>
      <c r="AB20" s="112">
        <f t="shared" si="11"/>
        <v>498.375</v>
      </c>
      <c r="AC20" s="110">
        <f t="shared" si="12"/>
        <v>0.55</v>
      </c>
      <c r="AD20" s="111">
        <f t="shared" si="13"/>
        <v>30.250000000000004</v>
      </c>
      <c r="AE20" s="113">
        <f t="shared" si="14"/>
        <v>615.25</v>
      </c>
      <c r="AG20" s="67">
        <f>IF($D$9&lt;4001,((AB21-AB18)/4000)*$D$9,AB21-AB18)</f>
        <v>4.7238750000000005</v>
      </c>
      <c r="AH20" s="67" t="str">
        <f>IF($D$9&lt;4001,"0",IF(AND($D$9&gt;4000,$D$9&lt;8001),((AB24-AB21)/4000)*($D$9-4000),AB24-AB21))</f>
        <v>0</v>
      </c>
      <c r="AI20" s="67">
        <f>IF($D$9&lt;4001,((AE21-AE18)/4000)*$D$9,AE21-AE18)</f>
        <v>5.9808125</v>
      </c>
      <c r="AJ20" s="67" t="str">
        <f>IF($D$9&lt;4001,"0",IF(AND($D$9&gt;4000,$D$9&lt;8001),((AE24-AE21)/4000)*($D$9-4000),AE24-AE21))</f>
        <v>0</v>
      </c>
      <c r="AK20" s="24"/>
      <c r="AO20" s="63">
        <f>IF($F$7=(-0.002*$D$9)+15,$AG$23,IF($F$7&lt;(-0.002*$D$9)+15,$AG$23+((($AG$23-$AG$21)/20)*($F$7-((-0.002*$D$9)+15))),$AG$23+((($AG$25-$AG$23)/20)*($F$7-((-0.002*$D$9)+15)))))</f>
        <v>478.4488656375</v>
      </c>
      <c r="AP20" s="62">
        <f>IF($F$7=(-0.002*$D$9)+15,$AI$23,IF($F$7&lt;(-0.002*$D$9)+15,$AI$23+((($AI$23-$AI$21)/20)*($F$7-((-0.002*$D$9)+15))),$AI$23+((($AI$25-$AI$23)/20)*($F$7-((-0.002*$D$9)+15)))))</f>
        <v>588.7375906374999</v>
      </c>
      <c r="AQ20" s="72"/>
      <c r="AR20" s="72"/>
      <c r="AS20" s="72"/>
      <c r="AT20" s="72"/>
      <c r="AU20" s="72"/>
      <c r="AX20" s="3"/>
      <c r="AY20" s="26"/>
    </row>
    <row r="21" spans="1:44" ht="27.75" customHeight="1" thickBot="1">
      <c r="A21" s="122" t="s">
        <v>37</v>
      </c>
      <c r="B21" s="122"/>
      <c r="C21" s="122"/>
      <c r="D21" s="122"/>
      <c r="E21" s="122"/>
      <c r="F21" s="122"/>
      <c r="G21" s="122"/>
      <c r="H21" s="122"/>
      <c r="I21" s="122"/>
      <c r="K21" s="44"/>
      <c r="L21" s="40" t="s">
        <v>10</v>
      </c>
      <c r="M21" s="45">
        <v>20</v>
      </c>
      <c r="N21" s="95">
        <v>560</v>
      </c>
      <c r="O21" s="96">
        <v>-270</v>
      </c>
      <c r="P21" s="101">
        <v>695</v>
      </c>
      <c r="Q21" s="102">
        <v>-405</v>
      </c>
      <c r="R21" s="95">
        <v>475</v>
      </c>
      <c r="S21" s="96">
        <v>-215</v>
      </c>
      <c r="T21" s="101">
        <v>585</v>
      </c>
      <c r="U21" s="106">
        <v>-325</v>
      </c>
      <c r="W21" s="17"/>
      <c r="X21" s="21" t="s">
        <v>10</v>
      </c>
      <c r="Y21" s="22">
        <v>-20</v>
      </c>
      <c r="Z21" s="110">
        <f t="shared" si="9"/>
        <v>0.425</v>
      </c>
      <c r="AA21" s="111">
        <f t="shared" si="10"/>
        <v>23.375</v>
      </c>
      <c r="AB21" s="112">
        <f t="shared" si="11"/>
        <v>488.375</v>
      </c>
      <c r="AC21" s="110">
        <f t="shared" si="12"/>
        <v>0.575</v>
      </c>
      <c r="AD21" s="111">
        <f t="shared" si="13"/>
        <v>31.624999999999996</v>
      </c>
      <c r="AE21" s="113">
        <f t="shared" si="14"/>
        <v>601.625</v>
      </c>
      <c r="AG21" s="63">
        <f>AB18+AG20+AH20</f>
        <v>450.348875</v>
      </c>
      <c r="AH21" s="63"/>
      <c r="AI21" s="62">
        <f>AE18+AI20+AJ20</f>
        <v>553.4808125</v>
      </c>
      <c r="AJ21" s="63"/>
      <c r="AK21" s="24"/>
      <c r="AO21" s="73" t="s">
        <v>44</v>
      </c>
      <c r="AP21" s="24"/>
      <c r="AQ21" s="24"/>
      <c r="AR21" s="24"/>
    </row>
    <row r="22" spans="1:48" ht="27.75" customHeight="1" thickTop="1">
      <c r="A22" s="122" t="s">
        <v>38</v>
      </c>
      <c r="B22" s="122"/>
      <c r="C22" s="122"/>
      <c r="D22" s="122"/>
      <c r="E22" s="122"/>
      <c r="F22" s="122"/>
      <c r="G22" s="122"/>
      <c r="H22" s="122"/>
      <c r="I22" s="122"/>
      <c r="J22" s="46"/>
      <c r="K22" s="41"/>
      <c r="L22" s="42" t="s">
        <v>10</v>
      </c>
      <c r="M22" s="43">
        <v>-20</v>
      </c>
      <c r="N22" s="93">
        <v>550</v>
      </c>
      <c r="O22" s="94">
        <v>-260</v>
      </c>
      <c r="P22" s="99">
        <v>685</v>
      </c>
      <c r="Q22" s="100">
        <v>-395</v>
      </c>
      <c r="R22" s="93">
        <v>465</v>
      </c>
      <c r="S22" s="94">
        <v>-210</v>
      </c>
      <c r="T22" s="99">
        <v>570</v>
      </c>
      <c r="U22" s="105">
        <v>-315</v>
      </c>
      <c r="W22" s="23">
        <v>4000</v>
      </c>
      <c r="X22" s="21" t="s">
        <v>16</v>
      </c>
      <c r="Y22" s="22">
        <v>7</v>
      </c>
      <c r="Z22" s="110">
        <f t="shared" si="9"/>
        <v>0.45</v>
      </c>
      <c r="AA22" s="111">
        <f t="shared" si="10"/>
        <v>24.75</v>
      </c>
      <c r="AB22" s="112">
        <f t="shared" si="11"/>
        <v>519.75</v>
      </c>
      <c r="AC22" s="110">
        <f t="shared" si="12"/>
        <v>0.6</v>
      </c>
      <c r="AD22" s="111">
        <f t="shared" si="13"/>
        <v>33</v>
      </c>
      <c r="AE22" s="113">
        <f t="shared" si="14"/>
        <v>643</v>
      </c>
      <c r="AG22" s="67">
        <f>IF($D$9&lt;4001,((AB22-AB19)/4000)*$D$9,AB22-AB19)</f>
        <v>5.276375</v>
      </c>
      <c r="AH22" s="67" t="str">
        <f>IF($D$9&lt;4001,"0",IF(AND($D$9&gt;4000,$D$9&lt;8001),((AB25-AB22)/4000)*($D$9-4000),AB25-AB22))</f>
        <v>0</v>
      </c>
      <c r="AI22" s="67">
        <f>IF($D$9&lt;4001,((AE22-AE19)/4000)*$D$9,AE22-AE19)</f>
        <v>6.9338750000000005</v>
      </c>
      <c r="AJ22" s="67" t="str">
        <f>IF($D$9&lt;4001,"0",IF(AND($D$9&gt;4000,$D$9&lt;8001),((AE25-AE22)/4000)*($D$9-4000),AE25-AE22))</f>
        <v>0</v>
      </c>
      <c r="AK22" s="24"/>
      <c r="AO22" s="63">
        <f>HLOOKUP($H$7,$W$1:$BA$2,2,0)*AO20</f>
        <v>478.4488656375</v>
      </c>
      <c r="AP22" s="62">
        <f>HLOOKUP($H$7,$W$1:$BA$2,2,0)*AP20</f>
        <v>588.7375906374999</v>
      </c>
      <c r="AS22" s="24"/>
      <c r="AT22" s="24"/>
      <c r="AU22" s="24"/>
      <c r="AV22" s="24"/>
    </row>
    <row r="23" spans="10:52" ht="27" customHeight="1">
      <c r="J23" s="46"/>
      <c r="K23" s="20">
        <v>4000</v>
      </c>
      <c r="L23" s="21" t="s">
        <v>16</v>
      </c>
      <c r="M23" s="22">
        <v>7</v>
      </c>
      <c r="N23" s="77">
        <v>585</v>
      </c>
      <c r="O23" s="78">
        <v>-280</v>
      </c>
      <c r="P23" s="83">
        <v>730</v>
      </c>
      <c r="Q23" s="84">
        <v>-425</v>
      </c>
      <c r="R23" s="77">
        <v>495</v>
      </c>
      <c r="S23" s="78">
        <v>-230</v>
      </c>
      <c r="T23" s="83">
        <v>610</v>
      </c>
      <c r="U23" s="88">
        <v>-345</v>
      </c>
      <c r="W23" s="29"/>
      <c r="X23" s="21" t="s">
        <v>10</v>
      </c>
      <c r="Y23" s="114">
        <v>20</v>
      </c>
      <c r="Z23" s="110">
        <f t="shared" si="9"/>
        <v>0.5</v>
      </c>
      <c r="AA23" s="111">
        <f t="shared" si="10"/>
        <v>27.5</v>
      </c>
      <c r="AB23" s="112">
        <f t="shared" si="11"/>
        <v>547.5</v>
      </c>
      <c r="AC23" s="110">
        <f t="shared" si="12"/>
        <v>0.625</v>
      </c>
      <c r="AD23" s="111">
        <f t="shared" si="13"/>
        <v>34.375</v>
      </c>
      <c r="AE23" s="113">
        <f t="shared" si="14"/>
        <v>679.375</v>
      </c>
      <c r="AG23" s="63">
        <f>AB19+AG22+AH22</f>
        <v>477.276375</v>
      </c>
      <c r="AH23" s="61"/>
      <c r="AI23" s="62">
        <f>AE19+AI22+AJ22</f>
        <v>587.183875</v>
      </c>
      <c r="AJ23" s="61"/>
      <c r="AK23" s="24"/>
      <c r="AQ23" s="1"/>
      <c r="AR23" s="18"/>
      <c r="AS23" s="18"/>
      <c r="AT23" s="18"/>
      <c r="AU23" s="18"/>
      <c r="AV23" s="18"/>
      <c r="AX23" s="3"/>
      <c r="AY23" s="26"/>
      <c r="AZ23" s="3"/>
    </row>
    <row r="24" spans="10:51" ht="27" customHeight="1" thickBot="1">
      <c r="J24" s="46"/>
      <c r="K24" s="44"/>
      <c r="L24" s="40" t="s">
        <v>10</v>
      </c>
      <c r="M24" s="45">
        <v>20</v>
      </c>
      <c r="N24" s="95">
        <v>620</v>
      </c>
      <c r="O24" s="96">
        <v>-300</v>
      </c>
      <c r="P24" s="101">
        <v>770</v>
      </c>
      <c r="Q24" s="102">
        <v>-450</v>
      </c>
      <c r="R24" s="95">
        <v>520</v>
      </c>
      <c r="S24" s="96">
        <v>-240</v>
      </c>
      <c r="T24" s="101">
        <v>645</v>
      </c>
      <c r="U24" s="106">
        <v>-365</v>
      </c>
      <c r="W24" s="119">
        <v>8000</v>
      </c>
      <c r="X24" s="47" t="s">
        <v>10</v>
      </c>
      <c r="Y24" s="48">
        <v>-20</v>
      </c>
      <c r="Z24" s="110">
        <f t="shared" si="9"/>
        <v>0.5</v>
      </c>
      <c r="AA24" s="111">
        <f t="shared" si="10"/>
        <v>27.5</v>
      </c>
      <c r="AB24" s="112">
        <f t="shared" si="11"/>
        <v>537.5</v>
      </c>
      <c r="AC24" s="110">
        <f t="shared" si="12"/>
        <v>0.625</v>
      </c>
      <c r="AD24" s="111">
        <f t="shared" si="13"/>
        <v>34.375</v>
      </c>
      <c r="AE24" s="113">
        <f t="shared" si="14"/>
        <v>664.375</v>
      </c>
      <c r="AG24" s="67">
        <f>IF($D$9&lt;4001,((AB23-AB20)/4000)*$D$9,AB23-AB20)</f>
        <v>5.4283125000000005</v>
      </c>
      <c r="AH24" s="67" t="str">
        <f>IF($D$9&lt;4001,"0",IF(AND($D$9&gt;4000,$D$9&lt;8001),((AB26-AB23)/4000)*($D$9-4000),AB26-AB23))</f>
        <v>0</v>
      </c>
      <c r="AI24" s="67">
        <f>IF($D$9&lt;4001,((AE23-AE20)/4000)*$D$9,AE23-AE20)</f>
        <v>7.0858125</v>
      </c>
      <c r="AJ24" s="67" t="str">
        <f>IF($D$9&lt;4001,"0",IF(AND($D$9&gt;4000,$D$9&lt;8001),((AE26-AE23)/4000)*($D$9-4000),AE26-AE23))</f>
        <v>0</v>
      </c>
      <c r="AK24" s="24"/>
      <c r="AN24" s="1"/>
      <c r="AO24" s="24"/>
      <c r="AP24" s="25"/>
      <c r="AQ24" s="24"/>
      <c r="AR24" s="24"/>
      <c r="AS24" s="1"/>
      <c r="AU24" s="3"/>
      <c r="AV24" s="26"/>
      <c r="AW24" s="3"/>
      <c r="AX24" s="3"/>
      <c r="AY24" s="3"/>
    </row>
    <row r="25" spans="10:45" ht="27" customHeight="1" thickTop="1">
      <c r="J25" s="46"/>
      <c r="K25" s="123">
        <v>8000</v>
      </c>
      <c r="L25" s="47" t="s">
        <v>10</v>
      </c>
      <c r="M25" s="48">
        <v>-20</v>
      </c>
      <c r="N25" s="97">
        <v>610</v>
      </c>
      <c r="O25" s="98">
        <v>-295</v>
      </c>
      <c r="P25" s="103">
        <v>755</v>
      </c>
      <c r="Q25" s="104">
        <v>-440</v>
      </c>
      <c r="R25" s="97">
        <v>510</v>
      </c>
      <c r="S25" s="98">
        <v>-240</v>
      </c>
      <c r="T25" s="103">
        <v>630</v>
      </c>
      <c r="U25" s="107">
        <v>-360</v>
      </c>
      <c r="W25" s="120"/>
      <c r="X25" s="21" t="s">
        <v>16</v>
      </c>
      <c r="Y25" s="22">
        <v>-1</v>
      </c>
      <c r="Z25" s="110">
        <f t="shared" si="9"/>
        <v>0.525</v>
      </c>
      <c r="AA25" s="111">
        <f t="shared" si="10"/>
        <v>28.875</v>
      </c>
      <c r="AB25" s="112">
        <f t="shared" si="11"/>
        <v>573.875</v>
      </c>
      <c r="AC25" s="110">
        <f t="shared" si="12"/>
        <v>0.7</v>
      </c>
      <c r="AD25" s="111">
        <f t="shared" si="13"/>
        <v>38.5</v>
      </c>
      <c r="AE25" s="113">
        <f t="shared" si="14"/>
        <v>708.5</v>
      </c>
      <c r="AG25" s="63">
        <f>AB20+AG24+AH24</f>
        <v>503.8033125</v>
      </c>
      <c r="AH25" s="61"/>
      <c r="AI25" s="62">
        <f>AE20+AI24+AJ24</f>
        <v>622.3358125</v>
      </c>
      <c r="AJ25" s="61"/>
      <c r="AK25" s="24"/>
      <c r="AN25" s="1"/>
      <c r="AO25" s="24"/>
      <c r="AP25" s="25"/>
      <c r="AQ25" s="24"/>
      <c r="AR25" s="24"/>
      <c r="AS25" s="1"/>
    </row>
    <row r="26" spans="10:42" ht="27" customHeight="1">
      <c r="J26" s="46"/>
      <c r="K26" s="123"/>
      <c r="L26" s="21" t="s">
        <v>16</v>
      </c>
      <c r="M26" s="22">
        <v>-1</v>
      </c>
      <c r="N26" s="77">
        <v>650</v>
      </c>
      <c r="O26" s="78">
        <v>-320</v>
      </c>
      <c r="P26" s="83">
        <v>810</v>
      </c>
      <c r="Q26" s="84">
        <v>-480</v>
      </c>
      <c r="R26" s="77">
        <v>545</v>
      </c>
      <c r="S26" s="78">
        <v>-260</v>
      </c>
      <c r="T26" s="83">
        <v>670</v>
      </c>
      <c r="U26" s="88">
        <v>-385</v>
      </c>
      <c r="W26" s="121"/>
      <c r="X26" s="21" t="s">
        <v>10</v>
      </c>
      <c r="Y26" s="114">
        <v>20</v>
      </c>
      <c r="Z26" s="110">
        <f t="shared" si="9"/>
        <v>0.575</v>
      </c>
      <c r="AA26" s="111">
        <f t="shared" si="10"/>
        <v>31.624999999999996</v>
      </c>
      <c r="AB26" s="112">
        <f t="shared" si="11"/>
        <v>606.625</v>
      </c>
      <c r="AC26" s="110">
        <f t="shared" si="12"/>
        <v>0.725</v>
      </c>
      <c r="AD26" s="111">
        <f t="shared" si="13"/>
        <v>39.875</v>
      </c>
      <c r="AE26" s="113">
        <f t="shared" si="14"/>
        <v>754.875</v>
      </c>
      <c r="AK26" s="24"/>
      <c r="AL26" s="24"/>
      <c r="AM26" s="1"/>
      <c r="AN26" s="1"/>
      <c r="AO26" s="1"/>
      <c r="AP26" s="3"/>
    </row>
    <row r="27" spans="1:21" ht="27" customHeight="1" thickBot="1">
      <c r="A27" s="125"/>
      <c r="B27" s="125"/>
      <c r="C27" s="125"/>
      <c r="D27" s="125"/>
      <c r="E27" s="125"/>
      <c r="F27" s="125"/>
      <c r="G27" s="125"/>
      <c r="H27" s="125"/>
      <c r="I27" s="125"/>
      <c r="J27" s="46"/>
      <c r="K27" s="124"/>
      <c r="L27" s="12" t="s">
        <v>10</v>
      </c>
      <c r="M27" s="28">
        <v>20</v>
      </c>
      <c r="N27" s="79">
        <v>690</v>
      </c>
      <c r="O27" s="80">
        <v>-340</v>
      </c>
      <c r="P27" s="85">
        <v>860</v>
      </c>
      <c r="Q27" s="86">
        <v>-510</v>
      </c>
      <c r="R27" s="79">
        <v>575</v>
      </c>
      <c r="S27" s="80">
        <v>-275</v>
      </c>
      <c r="T27" s="85">
        <v>715</v>
      </c>
      <c r="U27" s="89">
        <v>-415</v>
      </c>
    </row>
    <row r="28" spans="1:11" ht="24.7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46"/>
      <c r="K28" s="49" t="s">
        <v>35</v>
      </c>
    </row>
    <row r="29" spans="2:11" ht="24.75" customHeight="1">
      <c r="B29" s="2"/>
      <c r="D29" s="2"/>
      <c r="F29" s="2"/>
      <c r="G29" s="2"/>
      <c r="H29" s="2"/>
      <c r="K29" s="37" t="s">
        <v>31</v>
      </c>
    </row>
    <row r="30" spans="2:8" ht="24.75" customHeight="1">
      <c r="B30" s="2"/>
      <c r="D30" s="2"/>
      <c r="F30" s="2"/>
      <c r="G30" s="2"/>
      <c r="H30" s="2"/>
    </row>
    <row r="31" spans="2:8" ht="24.75" customHeight="1">
      <c r="B31" s="2"/>
      <c r="D31" s="2"/>
      <c r="F31" s="2"/>
      <c r="G31" s="2"/>
      <c r="H31" s="2"/>
    </row>
    <row r="32" spans="1:9" ht="24.75" customHeight="1">
      <c r="A32" s="50"/>
      <c r="B32" s="51"/>
      <c r="D32" s="31"/>
      <c r="E32" s="51"/>
      <c r="F32" s="31"/>
      <c r="G32" s="31"/>
      <c r="H32" s="31"/>
      <c r="I32" s="51"/>
    </row>
    <row r="33" spans="2:22" ht="24.75" customHeight="1">
      <c r="B33" s="31"/>
      <c r="C33" s="51"/>
      <c r="D33" s="31"/>
      <c r="E33" s="51"/>
      <c r="F33" s="31"/>
      <c r="G33" s="31"/>
      <c r="H33" s="31"/>
      <c r="I33" s="5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1:22" ht="24.75" customHeight="1"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54" ht="24.75" customHeight="1">
      <c r="V54" s="5"/>
    </row>
    <row r="70" spans="11:17" ht="24.75" customHeight="1">
      <c r="K70" s="3"/>
      <c r="Q70" s="3"/>
    </row>
    <row r="71" spans="11:17" ht="24.75" customHeight="1">
      <c r="K71" s="3"/>
      <c r="Q71" s="3"/>
    </row>
    <row r="72" spans="11:17" ht="24.75" customHeight="1">
      <c r="K72" s="3"/>
      <c r="Q72" s="3"/>
    </row>
  </sheetData>
  <sheetProtection password="C959" sheet="1" selectLockedCells="1"/>
  <mergeCells count="26">
    <mergeCell ref="N18:O18"/>
    <mergeCell ref="P18:Q18"/>
    <mergeCell ref="R18:S18"/>
    <mergeCell ref="T18:U18"/>
    <mergeCell ref="A1:I1"/>
    <mergeCell ref="K1:U1"/>
    <mergeCell ref="L2:M2"/>
    <mergeCell ref="N2:Q2"/>
    <mergeCell ref="R2:U2"/>
    <mergeCell ref="N3:O3"/>
    <mergeCell ref="P3:Q3"/>
    <mergeCell ref="R3:S3"/>
    <mergeCell ref="T3:U3"/>
    <mergeCell ref="W10:W12"/>
    <mergeCell ref="K16:U16"/>
    <mergeCell ref="L17:M17"/>
    <mergeCell ref="N17:Q17"/>
    <mergeCell ref="R17:U17"/>
    <mergeCell ref="A28:I28"/>
    <mergeCell ref="A19:I19"/>
    <mergeCell ref="A20:I20"/>
    <mergeCell ref="W24:W26"/>
    <mergeCell ref="A21:I21"/>
    <mergeCell ref="K25:K27"/>
    <mergeCell ref="A22:I22"/>
    <mergeCell ref="A27:I27"/>
  </mergeCells>
  <conditionalFormatting sqref="B15 B17">
    <cfRule type="cellIs" priority="11" dxfId="1" operator="lessThan" stopIfTrue="1">
      <formula>0</formula>
    </cfRule>
    <cfRule type="cellIs" priority="12" dxfId="0" operator="greaterThanOrEqual" stopIfTrue="1">
      <formula>0</formula>
    </cfRule>
  </conditionalFormatting>
  <conditionalFormatting sqref="D3">
    <cfRule type="cellIs" priority="10" dxfId="1" operator="notBetween" stopIfTrue="1">
      <formula>1100</formula>
      <formula>730</formula>
    </cfRule>
  </conditionalFormatting>
  <conditionalFormatting sqref="B12">
    <cfRule type="cellIs" priority="8" dxfId="1" operator="greaterThan" stopIfTrue="1">
      <formula>$F$5</formula>
    </cfRule>
    <cfRule type="cellIs" priority="9" dxfId="0" operator="lessThanOrEqual" stopIfTrue="1">
      <formula>$F$5</formula>
    </cfRule>
  </conditionalFormatting>
  <conditionalFormatting sqref="C12">
    <cfRule type="cellIs" priority="6" dxfId="1" operator="greaterThan" stopIfTrue="1">
      <formula>$F$5</formula>
    </cfRule>
    <cfRule type="cellIs" priority="7" dxfId="0" operator="lessThanOrEqual" stopIfTrue="1">
      <formula>$F$5</formula>
    </cfRule>
  </conditionalFormatting>
  <conditionalFormatting sqref="D12">
    <cfRule type="cellIs" priority="4" dxfId="1" operator="greaterThanOrEqual" stopIfTrue="1">
      <formula>$H$5</formula>
    </cfRule>
    <cfRule type="cellIs" priority="5" dxfId="0" operator="lessThanOrEqual" stopIfTrue="1">
      <formula>$H$5</formula>
    </cfRule>
  </conditionalFormatting>
  <conditionalFormatting sqref="E12">
    <cfRule type="cellIs" priority="2" dxfId="1" operator="greaterThan" stopIfTrue="1">
      <formula>$H$5</formula>
    </cfRule>
    <cfRule type="cellIs" priority="3" dxfId="0" operator="lessThanOrEqual" stopIfTrue="1">
      <formula>$H$5</formula>
    </cfRule>
  </conditionalFormatting>
  <conditionalFormatting sqref="D5">
    <cfRule type="cellIs" priority="1" dxfId="11" operator="equal" stopIfTrue="1">
      <formula>"Herbe"</formula>
    </cfRule>
  </conditionalFormatting>
  <dataValidations count="4">
    <dataValidation type="whole" allowBlank="1" showInputMessage="1" showErrorMessage="1" prompt="Mini 950 et Max 1050" error="Mini 950 et Max 1050" sqref="B7">
      <formula1>950</formula1>
      <formula2>1050</formula2>
    </dataValidation>
    <dataValidation type="whole" showInputMessage="1" showErrorMessage="1" prompt="Masse maxi DEC 1100 kg&#10;Masse maxi ATT  1035 kg&#10;Masse mini            730 kg" error="Masse maxi 1100 kg&#10;Masse mini 730 kg" sqref="D3">
      <formula1>730</formula1>
      <formula2>1100</formula2>
    </dataValidation>
    <dataValidation errorStyle="information" type="list" showInputMessage="1" showErrorMessage="1" error="Herbe ou Béton dans liste déroulante" sqref="D5">
      <formula1>"Herbe,Béton"</formula1>
    </dataValidation>
    <dataValidation errorStyle="information" type="custom" allowBlank="1" showInputMessage="1" showErrorMessage="1" sqref="C15:C17">
      <formula1>B15&gt;0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cp:lastPrinted>2023-03-16T23:09:55Z</cp:lastPrinted>
  <dcterms:created xsi:type="dcterms:W3CDTF">2023-02-24T11:55:58Z</dcterms:created>
  <dcterms:modified xsi:type="dcterms:W3CDTF">2023-03-22T18:48:21Z</dcterms:modified>
  <cp:category/>
  <cp:version/>
  <cp:contentType/>
  <cp:contentStatus/>
</cp:coreProperties>
</file>